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D839DD4-2EB0-41E2-A16C-EA726B249340}" xr6:coauthVersionLast="47" xr6:coauthVersionMax="47" xr10:uidLastSave="{00000000-0000-0000-0000-000000000000}"/>
  <bookViews>
    <workbookView xWindow="15" yWindow="30" windowWidth="28755" windowHeight="15450" tabRatio="500" xr2:uid="{00000000-000D-0000-FFFF-FFFF00000000}"/>
  </bookViews>
  <sheets>
    <sheet name="Dashboard" sheetId="1" r:id="rId1"/>
    <sheet name="Shoes" sheetId="2" r:id="rId2"/>
    <sheet name="Installments" sheetId="3" r:id="rId3"/>
    <sheet name="Logic" sheetId="4" r:id="rId4"/>
    <sheet name="Picker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3" i="1" l="1"/>
  <c r="G61" i="5"/>
  <c r="F61" i="5"/>
  <c r="E61" i="5"/>
  <c r="D61" i="5"/>
  <c r="J61" i="5" s="1"/>
  <c r="C61" i="5"/>
  <c r="B61" i="5"/>
  <c r="G60" i="5"/>
  <c r="F60" i="5"/>
  <c r="E60" i="5"/>
  <c r="D60" i="5"/>
  <c r="J60" i="5" s="1"/>
  <c r="C60" i="5"/>
  <c r="B60" i="5"/>
  <c r="G59" i="5"/>
  <c r="F59" i="5"/>
  <c r="E59" i="5"/>
  <c r="D59" i="5"/>
  <c r="J59" i="5" s="1"/>
  <c r="C59" i="5"/>
  <c r="B59" i="5"/>
  <c r="G58" i="5"/>
  <c r="F58" i="5"/>
  <c r="E58" i="5"/>
  <c r="D58" i="5"/>
  <c r="H58" i="5" s="1"/>
  <c r="I58" i="5" s="1"/>
  <c r="C58" i="5"/>
  <c r="B58" i="5"/>
  <c r="G57" i="5"/>
  <c r="F57" i="5"/>
  <c r="E57" i="5"/>
  <c r="D57" i="5"/>
  <c r="J57" i="5" s="1"/>
  <c r="C57" i="5"/>
  <c r="B57" i="5"/>
  <c r="G56" i="5"/>
  <c r="F56" i="5"/>
  <c r="E56" i="5"/>
  <c r="D56" i="5"/>
  <c r="J56" i="5" s="1"/>
  <c r="C56" i="5"/>
  <c r="B56" i="5"/>
  <c r="G55" i="5"/>
  <c r="F55" i="5"/>
  <c r="E55" i="5"/>
  <c r="D55" i="5"/>
  <c r="J55" i="5" s="1"/>
  <c r="C55" i="5"/>
  <c r="B55" i="5"/>
  <c r="G54" i="5"/>
  <c r="F54" i="5"/>
  <c r="E54" i="5"/>
  <c r="D54" i="5"/>
  <c r="H54" i="5" s="1"/>
  <c r="I54" i="5" s="1"/>
  <c r="C54" i="5"/>
  <c r="B54" i="5"/>
  <c r="G53" i="5"/>
  <c r="F53" i="5"/>
  <c r="E53" i="5"/>
  <c r="D53" i="5"/>
  <c r="J53" i="5" s="1"/>
  <c r="C53" i="5"/>
  <c r="B53" i="5"/>
  <c r="G52" i="5"/>
  <c r="F52" i="5"/>
  <c r="E52" i="5"/>
  <c r="D52" i="5"/>
  <c r="J52" i="5" s="1"/>
  <c r="C52" i="5"/>
  <c r="B52" i="5"/>
  <c r="G51" i="5"/>
  <c r="F51" i="5"/>
  <c r="E51" i="5"/>
  <c r="D51" i="5"/>
  <c r="J51" i="5" s="1"/>
  <c r="C51" i="5"/>
  <c r="B51" i="5"/>
  <c r="G50" i="5"/>
  <c r="F50" i="5"/>
  <c r="E50" i="5"/>
  <c r="D50" i="5"/>
  <c r="H50" i="5" s="1"/>
  <c r="I50" i="5" s="1"/>
  <c r="C50" i="5"/>
  <c r="B50" i="5"/>
  <c r="G49" i="5"/>
  <c r="F49" i="5"/>
  <c r="E49" i="5"/>
  <c r="D49" i="5"/>
  <c r="J49" i="5" s="1"/>
  <c r="C49" i="5"/>
  <c r="B49" i="5"/>
  <c r="G48" i="5"/>
  <c r="F48" i="5"/>
  <c r="E48" i="5"/>
  <c r="D48" i="5"/>
  <c r="J48" i="5" s="1"/>
  <c r="C48" i="5"/>
  <c r="B48" i="5"/>
  <c r="G47" i="5"/>
  <c r="F47" i="5"/>
  <c r="E47" i="5"/>
  <c r="D47" i="5"/>
  <c r="J47" i="5" s="1"/>
  <c r="C47" i="5"/>
  <c r="B47" i="5"/>
  <c r="G46" i="5"/>
  <c r="F46" i="5"/>
  <c r="E46" i="5"/>
  <c r="D46" i="5"/>
  <c r="H46" i="5" s="1"/>
  <c r="I46" i="5" s="1"/>
  <c r="C46" i="5"/>
  <c r="B46" i="5"/>
  <c r="G45" i="5"/>
  <c r="F45" i="5"/>
  <c r="E45" i="5"/>
  <c r="D45" i="5"/>
  <c r="J45" i="5" s="1"/>
  <c r="C45" i="5"/>
  <c r="B45" i="5"/>
  <c r="G44" i="5"/>
  <c r="F44" i="5"/>
  <c r="E44" i="5"/>
  <c r="D44" i="5"/>
  <c r="J44" i="5" s="1"/>
  <c r="C44" i="5"/>
  <c r="B44" i="5"/>
  <c r="G43" i="5"/>
  <c r="F43" i="5"/>
  <c r="E43" i="5"/>
  <c r="D43" i="5"/>
  <c r="J43" i="5" s="1"/>
  <c r="C43" i="5"/>
  <c r="B43" i="5"/>
  <c r="G42" i="5"/>
  <c r="F42" i="5"/>
  <c r="E42" i="5"/>
  <c r="D42" i="5"/>
  <c r="H42" i="5" s="1"/>
  <c r="I42" i="5" s="1"/>
  <c r="C42" i="5"/>
  <c r="B42" i="5"/>
  <c r="G41" i="5"/>
  <c r="F41" i="5"/>
  <c r="E41" i="5"/>
  <c r="D41" i="5"/>
  <c r="J41" i="5" s="1"/>
  <c r="C41" i="5"/>
  <c r="B41" i="5"/>
  <c r="G40" i="5"/>
  <c r="F40" i="5"/>
  <c r="E40" i="5"/>
  <c r="D40" i="5"/>
  <c r="J40" i="5" s="1"/>
  <c r="C40" i="5"/>
  <c r="B40" i="5"/>
  <c r="H39" i="5"/>
  <c r="I39" i="5" s="1"/>
  <c r="G39" i="5"/>
  <c r="F39" i="5"/>
  <c r="E39" i="5"/>
  <c r="D39" i="5"/>
  <c r="J39" i="5" s="1"/>
  <c r="C39" i="5"/>
  <c r="B39" i="5"/>
  <c r="G38" i="5"/>
  <c r="F38" i="5"/>
  <c r="E38" i="5"/>
  <c r="D38" i="5"/>
  <c r="H38" i="5" s="1"/>
  <c r="I38" i="5" s="1"/>
  <c r="C38" i="5"/>
  <c r="B38" i="5"/>
  <c r="G37" i="5"/>
  <c r="F37" i="5"/>
  <c r="E37" i="5"/>
  <c r="D37" i="5"/>
  <c r="J37" i="5" s="1"/>
  <c r="C37" i="5"/>
  <c r="B37" i="5"/>
  <c r="G36" i="5"/>
  <c r="F36" i="5"/>
  <c r="E36" i="5"/>
  <c r="D36" i="5"/>
  <c r="J36" i="5" s="1"/>
  <c r="C36" i="5"/>
  <c r="B36" i="5"/>
  <c r="G35" i="5"/>
  <c r="F35" i="5"/>
  <c r="E35" i="5"/>
  <c r="D35" i="5"/>
  <c r="C35" i="5"/>
  <c r="B35" i="5"/>
  <c r="G34" i="5"/>
  <c r="F34" i="5"/>
  <c r="E34" i="5"/>
  <c r="D34" i="5"/>
  <c r="C34" i="5"/>
  <c r="B34" i="5"/>
  <c r="G33" i="5"/>
  <c r="F33" i="5"/>
  <c r="E33" i="5"/>
  <c r="D33" i="5"/>
  <c r="J33" i="5" s="1"/>
  <c r="C33" i="5"/>
  <c r="B33" i="5"/>
  <c r="G32" i="5"/>
  <c r="F32" i="5"/>
  <c r="E32" i="5"/>
  <c r="D32" i="5"/>
  <c r="J32" i="5" s="1"/>
  <c r="C32" i="5"/>
  <c r="B32" i="5"/>
  <c r="G31" i="5"/>
  <c r="F31" i="5"/>
  <c r="E31" i="5"/>
  <c r="D31" i="5"/>
  <c r="C31" i="5"/>
  <c r="B31" i="5"/>
  <c r="G30" i="5"/>
  <c r="F30" i="5"/>
  <c r="E30" i="5"/>
  <c r="D30" i="5"/>
  <c r="C30" i="5"/>
  <c r="B30" i="5"/>
  <c r="G29" i="5"/>
  <c r="F29" i="5"/>
  <c r="E29" i="5"/>
  <c r="D29" i="5"/>
  <c r="J29" i="5" s="1"/>
  <c r="C29" i="5"/>
  <c r="B29" i="5"/>
  <c r="G28" i="5"/>
  <c r="F28" i="5"/>
  <c r="E28" i="5"/>
  <c r="H28" i="5" s="1"/>
  <c r="I28" i="5" s="1"/>
  <c r="D28" i="5"/>
  <c r="J28" i="5" s="1"/>
  <c r="C28" i="5"/>
  <c r="B28" i="5"/>
  <c r="G27" i="5"/>
  <c r="F27" i="5"/>
  <c r="E27" i="5"/>
  <c r="D27" i="5"/>
  <c r="C27" i="5"/>
  <c r="J27" i="5" s="1"/>
  <c r="B27" i="5"/>
  <c r="G26" i="5"/>
  <c r="F26" i="5"/>
  <c r="E26" i="5"/>
  <c r="D26" i="5"/>
  <c r="C26" i="5"/>
  <c r="B26" i="5"/>
  <c r="G25" i="5"/>
  <c r="F25" i="5"/>
  <c r="E25" i="5"/>
  <c r="D25" i="5"/>
  <c r="J25" i="5" s="1"/>
  <c r="C25" i="5"/>
  <c r="B25" i="5"/>
  <c r="G24" i="5"/>
  <c r="F24" i="5"/>
  <c r="E24" i="5"/>
  <c r="H24" i="5" s="1"/>
  <c r="I24" i="5" s="1"/>
  <c r="D24" i="5"/>
  <c r="J24" i="5" s="1"/>
  <c r="C24" i="5"/>
  <c r="B24" i="5"/>
  <c r="G23" i="5"/>
  <c r="F23" i="5"/>
  <c r="E23" i="5"/>
  <c r="D23" i="5"/>
  <c r="C23" i="5"/>
  <c r="B23" i="5"/>
  <c r="G22" i="5"/>
  <c r="F22" i="5"/>
  <c r="E22" i="5"/>
  <c r="D22" i="5"/>
  <c r="C22" i="5"/>
  <c r="B22" i="5"/>
  <c r="G21" i="5"/>
  <c r="F21" i="5"/>
  <c r="E21" i="5"/>
  <c r="D21" i="5"/>
  <c r="J21" i="5" s="1"/>
  <c r="C21" i="5"/>
  <c r="B21" i="5"/>
  <c r="G20" i="5"/>
  <c r="F20" i="5"/>
  <c r="E20" i="5"/>
  <c r="D20" i="5"/>
  <c r="J20" i="5" s="1"/>
  <c r="C20" i="5"/>
  <c r="B20" i="5"/>
  <c r="G19" i="5"/>
  <c r="F19" i="5"/>
  <c r="E19" i="5"/>
  <c r="D19" i="5"/>
  <c r="C19" i="5"/>
  <c r="B19" i="5"/>
  <c r="J18" i="5"/>
  <c r="G18" i="5"/>
  <c r="F18" i="5"/>
  <c r="E18" i="5"/>
  <c r="D18" i="5"/>
  <c r="C18" i="5"/>
  <c r="B18" i="5"/>
  <c r="G17" i="5"/>
  <c r="F17" i="5"/>
  <c r="E17" i="5"/>
  <c r="D17" i="5"/>
  <c r="J17" i="5" s="1"/>
  <c r="C17" i="5"/>
  <c r="B17" i="5"/>
  <c r="G16" i="5"/>
  <c r="F16" i="5"/>
  <c r="E16" i="5"/>
  <c r="D16" i="5"/>
  <c r="J16" i="5" s="1"/>
  <c r="C16" i="5"/>
  <c r="B16" i="5"/>
  <c r="G15" i="5"/>
  <c r="F15" i="5"/>
  <c r="E15" i="5"/>
  <c r="D15" i="5"/>
  <c r="C15" i="5"/>
  <c r="B15" i="5"/>
  <c r="G14" i="5"/>
  <c r="F14" i="5"/>
  <c r="E14" i="5"/>
  <c r="D14" i="5"/>
  <c r="C14" i="5"/>
  <c r="B14" i="5"/>
  <c r="G13" i="5"/>
  <c r="F13" i="5"/>
  <c r="E13" i="5"/>
  <c r="D13" i="5"/>
  <c r="J13" i="5" s="1"/>
  <c r="C13" i="5"/>
  <c r="B13" i="5"/>
  <c r="G12" i="5"/>
  <c r="F12" i="5"/>
  <c r="E12" i="5"/>
  <c r="D12" i="5"/>
  <c r="J12" i="5" s="1"/>
  <c r="C12" i="5"/>
  <c r="B12" i="5"/>
  <c r="G11" i="5"/>
  <c r="F11" i="5"/>
  <c r="E11" i="5"/>
  <c r="D11" i="5"/>
  <c r="C11" i="5"/>
  <c r="B11" i="5"/>
  <c r="G10" i="5"/>
  <c r="F10" i="5"/>
  <c r="E10" i="5"/>
  <c r="D10" i="5"/>
  <c r="C10" i="5"/>
  <c r="B10" i="5"/>
  <c r="G9" i="5"/>
  <c r="F9" i="5"/>
  <c r="E9" i="5"/>
  <c r="D9" i="5"/>
  <c r="J9" i="5" s="1"/>
  <c r="C9" i="5"/>
  <c r="B9" i="5"/>
  <c r="G8" i="5"/>
  <c r="F8" i="5"/>
  <c r="E8" i="5"/>
  <c r="D8" i="5"/>
  <c r="J8" i="5" s="1"/>
  <c r="C8" i="5"/>
  <c r="B8" i="5"/>
  <c r="G7" i="5"/>
  <c r="F7" i="5"/>
  <c r="E7" i="5"/>
  <c r="D7" i="5"/>
  <c r="C7" i="5"/>
  <c r="B7" i="5"/>
  <c r="G6" i="5"/>
  <c r="F6" i="5"/>
  <c r="E6" i="5"/>
  <c r="D6" i="5"/>
  <c r="C6" i="5"/>
  <c r="B6" i="5"/>
  <c r="G5" i="5"/>
  <c r="F5" i="5"/>
  <c r="E5" i="5"/>
  <c r="D5" i="5"/>
  <c r="J5" i="5" s="1"/>
  <c r="C5" i="5"/>
  <c r="B5" i="5"/>
  <c r="G4" i="5"/>
  <c r="F4" i="5"/>
  <c r="E4" i="5"/>
  <c r="D4" i="5"/>
  <c r="J4" i="5" s="1"/>
  <c r="C4" i="5"/>
  <c r="B4" i="5"/>
  <c r="G3" i="5"/>
  <c r="F3" i="5"/>
  <c r="E3" i="5"/>
  <c r="D3" i="5"/>
  <c r="C3" i="5"/>
  <c r="B3" i="5"/>
  <c r="G2" i="5"/>
  <c r="F2" i="5"/>
  <c r="E2" i="5"/>
  <c r="D2" i="5"/>
  <c r="C2" i="5"/>
  <c r="B2" i="5"/>
  <c r="C30" i="1"/>
  <c r="A30" i="1"/>
  <c r="C29" i="1"/>
  <c r="A29" i="1"/>
  <c r="C28" i="1"/>
  <c r="A28" i="1"/>
  <c r="C27" i="1"/>
  <c r="A27" i="1"/>
  <c r="C26" i="1"/>
  <c r="A26" i="1"/>
  <c r="H30" i="5" l="1"/>
  <c r="I30" i="5" s="1"/>
  <c r="H34" i="5"/>
  <c r="I34" i="5" s="1"/>
  <c r="H2" i="5"/>
  <c r="H6" i="5"/>
  <c r="I6" i="5" s="1"/>
  <c r="H10" i="5"/>
  <c r="I10" i="5" s="1"/>
  <c r="H14" i="5"/>
  <c r="I14" i="5" s="1"/>
  <c r="H18" i="5"/>
  <c r="I18" i="5" s="1"/>
  <c r="H22" i="5"/>
  <c r="I22" i="5" s="1"/>
  <c r="H26" i="5"/>
  <c r="I26" i="5" s="1"/>
  <c r="J42" i="5"/>
  <c r="H23" i="5"/>
  <c r="I23" i="5" s="1"/>
  <c r="J46" i="5"/>
  <c r="H35" i="5"/>
  <c r="I35" i="5" s="1"/>
  <c r="J50" i="5"/>
  <c r="J54" i="5"/>
  <c r="J3" i="5"/>
  <c r="J23" i="5"/>
  <c r="J26" i="5"/>
  <c r="J6" i="5"/>
  <c r="H37" i="5"/>
  <c r="I37" i="5" s="1"/>
  <c r="J7" i="5"/>
  <c r="J11" i="5"/>
  <c r="J15" i="5"/>
  <c r="H7" i="5"/>
  <c r="I7" i="5" s="1"/>
  <c r="H11" i="5"/>
  <c r="I11" i="5" s="1"/>
  <c r="J30" i="5"/>
  <c r="H47" i="5"/>
  <c r="I47" i="5" s="1"/>
  <c r="J58" i="5"/>
  <c r="H13" i="5"/>
  <c r="I13" i="5" s="1"/>
  <c r="H17" i="5"/>
  <c r="I17" i="5" s="1"/>
  <c r="J35" i="5"/>
  <c r="H31" i="5"/>
  <c r="I31" i="5" s="1"/>
  <c r="H55" i="5"/>
  <c r="I55" i="5" s="1"/>
  <c r="H29" i="5"/>
  <c r="I29" i="5" s="1"/>
  <c r="J2" i="5"/>
  <c r="H4" i="5"/>
  <c r="I4" i="5" s="1"/>
  <c r="H44" i="5"/>
  <c r="I44" i="5" s="1"/>
  <c r="H52" i="5"/>
  <c r="I52" i="5" s="1"/>
  <c r="H60" i="5"/>
  <c r="I60" i="5" s="1"/>
  <c r="J10" i="5"/>
  <c r="H27" i="5"/>
  <c r="I27" i="5" s="1"/>
  <c r="J31" i="5"/>
  <c r="J34" i="5"/>
  <c r="H49" i="5"/>
  <c r="I49" i="5" s="1"/>
  <c r="H57" i="5"/>
  <c r="I57" i="5" s="1"/>
  <c r="H3" i="5"/>
  <c r="I3" i="5" s="1"/>
  <c r="H12" i="5"/>
  <c r="I12" i="5" s="1"/>
  <c r="H25" i="5"/>
  <c r="I25" i="5" s="1"/>
  <c r="H36" i="5"/>
  <c r="I36" i="5" s="1"/>
  <c r="H41" i="5"/>
  <c r="I41" i="5" s="1"/>
  <c r="H8" i="5"/>
  <c r="I8" i="5" s="1"/>
  <c r="J14" i="5"/>
  <c r="H51" i="5"/>
  <c r="I51" i="5" s="1"/>
  <c r="H59" i="5"/>
  <c r="I59" i="5" s="1"/>
  <c r="B9" i="1"/>
  <c r="H5" i="5"/>
  <c r="I5" i="5" s="1"/>
  <c r="H16" i="5"/>
  <c r="I16" i="5" s="1"/>
  <c r="J38" i="5"/>
  <c r="H43" i="5"/>
  <c r="I43" i="5" s="1"/>
  <c r="H19" i="5"/>
  <c r="I19" i="5" s="1"/>
  <c r="H21" i="5"/>
  <c r="I21" i="5" s="1"/>
  <c r="H32" i="5"/>
  <c r="I32" i="5" s="1"/>
  <c r="H9" i="5"/>
  <c r="I9" i="5" s="1"/>
  <c r="H20" i="5"/>
  <c r="I20" i="5" s="1"/>
  <c r="H33" i="5"/>
  <c r="I33" i="5" s="1"/>
  <c r="H48" i="5"/>
  <c r="I48" i="5" s="1"/>
  <c r="H56" i="5"/>
  <c r="I56" i="5" s="1"/>
  <c r="H15" i="5"/>
  <c r="I15" i="5" s="1"/>
  <c r="J19" i="5"/>
  <c r="J22" i="5"/>
  <c r="H40" i="5"/>
  <c r="I40" i="5" s="1"/>
  <c r="H45" i="5"/>
  <c r="I45" i="5" s="1"/>
  <c r="H53" i="5"/>
  <c r="I53" i="5" s="1"/>
  <c r="H61" i="5"/>
  <c r="I61" i="5" s="1"/>
  <c r="I2" i="5"/>
  <c r="G20" i="1" l="1"/>
  <c r="G15" i="1"/>
  <c r="G14" i="1"/>
  <c r="F9" i="1"/>
  <c r="G19" i="1"/>
  <c r="G18" i="1"/>
  <c r="G13" i="1"/>
  <c r="G17" i="1"/>
  <c r="H9" i="1"/>
  <c r="D9" i="1"/>
  <c r="G16" i="1"/>
  <c r="E20" i="1"/>
  <c r="B19" i="1"/>
  <c r="H17" i="1"/>
  <c r="E16" i="1"/>
  <c r="B15" i="1"/>
  <c r="H13" i="1"/>
  <c r="D20" i="1"/>
  <c r="D16" i="1"/>
  <c r="C20" i="1"/>
  <c r="I18" i="1"/>
  <c r="F17" i="1"/>
  <c r="C16" i="1"/>
  <c r="I14" i="1"/>
  <c r="F13" i="1"/>
  <c r="B20" i="1"/>
  <c r="E17" i="1"/>
  <c r="B16" i="1"/>
  <c r="H14" i="1"/>
  <c r="E13" i="1"/>
  <c r="I13" i="1"/>
  <c r="H18" i="1"/>
  <c r="C15" i="1"/>
  <c r="D17" i="1"/>
  <c r="D13" i="1"/>
  <c r="F18" i="1"/>
  <c r="C17" i="1"/>
  <c r="I15" i="1"/>
  <c r="F14" i="1"/>
  <c r="C13" i="1"/>
  <c r="H19" i="1"/>
  <c r="B17" i="1"/>
  <c r="H15" i="1"/>
  <c r="B13" i="1"/>
  <c r="D18" i="1"/>
  <c r="D14" i="1"/>
  <c r="C14" i="1"/>
  <c r="D15" i="1"/>
  <c r="F20" i="1"/>
  <c r="I17" i="1"/>
  <c r="I19" i="1"/>
  <c r="E18" i="1"/>
  <c r="E14" i="1"/>
  <c r="I20" i="1"/>
  <c r="C18" i="1"/>
  <c r="I16" i="1"/>
  <c r="F15" i="1"/>
  <c r="F16" i="1"/>
  <c r="F19" i="1"/>
  <c r="H20" i="1"/>
  <c r="E19" i="1"/>
  <c r="B18" i="1"/>
  <c r="H16" i="1"/>
  <c r="E15" i="1"/>
  <c r="B14" i="1"/>
  <c r="D19" i="1"/>
  <c r="C19" i="1"/>
  <c r="E30" i="1" l="1"/>
  <c r="E28" i="1"/>
  <c r="E26" i="1"/>
  <c r="D26" i="1" s="1"/>
  <c r="E29" i="1"/>
  <c r="E27" i="1"/>
  <c r="F27" i="1" l="1"/>
  <c r="G27" i="1" s="1"/>
  <c r="D27" i="1"/>
  <c r="F29" i="1"/>
  <c r="G29" i="1" s="1"/>
  <c r="D29" i="1"/>
  <c r="F26" i="1"/>
  <c r="G26" i="1" s="1"/>
  <c r="F28" i="1"/>
  <c r="G28" i="1" s="1"/>
  <c r="D28" i="1"/>
  <c r="F30" i="1"/>
  <c r="G30" i="1" s="1"/>
  <c r="D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Dashboard</author>
  </authors>
  <commentList>
    <comment ref="D4" authorId="0" shapeId="0" xr:uid="{00000000-0006-0000-0000-000001000000}">
      <text>
        <r>
          <rPr>
            <sz val="10"/>
            <rFont val="Arial"/>
            <family val="2"/>
          </rPr>
          <t>Type any amount. Affordable shoes will appear in the table below.</t>
        </r>
      </text>
    </comment>
  </commentList>
</comments>
</file>

<file path=xl/sharedStrings.xml><?xml version="1.0" encoding="utf-8"?>
<sst xmlns="http://schemas.openxmlformats.org/spreadsheetml/2006/main" count="406" uniqueCount="239">
  <si>
    <t xml:space="preserve">  Shopee Camping Shoes — Personal Picker</t>
  </si>
  <si>
    <t xml:space="preserve">  Set your budget, fitness, and terrain — the table below updates live.</t>
  </si>
  <si>
    <t>Your budget (₱)</t>
  </si>
  <si>
    <t>👇 Click cells D4–D6 to edit. D5 and D6 are dropdowns.</t>
  </si>
  <si>
    <t>Terrain you usually hike</t>
  </si>
  <si>
    <t>Mixed hiking trails</t>
  </si>
  <si>
    <t>Your fitness level</t>
  </si>
  <si>
    <t>Regular hiker</t>
  </si>
  <si>
    <t>Affordable shoes</t>
  </si>
  <si>
    <t>Best match score</t>
  </si>
  <si>
    <t>Cheapest pick (₱)</t>
  </si>
  <si>
    <t>Median price (₱)</t>
  </si>
  <si>
    <t xml:space="preserve">  Top matches for your inputs</t>
  </si>
  <si>
    <t>Rank</t>
  </si>
  <si>
    <t>Product</t>
  </si>
  <si>
    <t>Brand</t>
  </si>
  <si>
    <t>Price</t>
  </si>
  <si>
    <t>Rating</t>
  </si>
  <si>
    <t>Reviews</t>
  </si>
  <si>
    <t>Match</t>
  </si>
  <si>
    <t>Affordable?</t>
  </si>
  <si>
    <t>Shipping</t>
  </si>
  <si>
    <t>Link</t>
  </si>
  <si>
    <t xml:space="preserve">  SPayLater installment options for your top pick</t>
  </si>
  <si>
    <t>Top pick:</t>
  </si>
  <si>
    <t>Plan</t>
  </si>
  <si>
    <t>Months</t>
  </si>
  <si>
    <t>Monthly payment</t>
  </si>
  <si>
    <t>Total cost</t>
  </si>
  <si>
    <t>Markup vs cash</t>
  </si>
  <si>
    <t>Recommendation</t>
  </si>
  <si>
    <t>Price_PHP</t>
  </si>
  <si>
    <t>Total_Ratings</t>
  </si>
  <si>
    <t>Location</t>
  </si>
  <si>
    <t>T_Light</t>
  </si>
  <si>
    <t>T_Hiking</t>
  </si>
  <si>
    <t>T_Rocky</t>
  </si>
  <si>
    <t>T_Wet</t>
  </si>
  <si>
    <t>F_Beginner</t>
  </si>
  <si>
    <t>F_Regular</t>
  </si>
  <si>
    <t>F_Advanced</t>
  </si>
  <si>
    <t>Weighted_Score</t>
  </si>
  <si>
    <t>Outdoor Camping Hiking Shoes &amp; Sandals - Non-Slip Wear-Resistant Shock-Absorbing Gym Running Shoes</t>
  </si>
  <si>
    <t>Unbranded</t>
  </si>
  <si>
    <t>Pandi, Bulacan</t>
  </si>
  <si>
    <t>&lt; 2 Days</t>
  </si>
  <si>
    <t>https://shopee.ph/Outdoor-Camping-Hiking-Shoes-Sandals-Non-Slip-Wear-Resistant-Shock-Absorbing-Gym-Running-Shoes-i.852524925.55300363607?extraParams=%7B%22display_model_id%22%3A380034008123%2C%22model_selection_logic%22%3A3%7D&amp;sp_atk=56f33c24-f26a-4b5f-9add-3bc2e1440c3c&amp;xptdk=56f33c24-f26a-4b5f-9add-3bc2e1440c3c</t>
  </si>
  <si>
    <t>Unisex Outdoor Mountain Trekking Climbing Men Hiking Shoe Non-slip Breathable Camping Running Sport Sneakers#BY201</t>
  </si>
  <si>
    <t>ROSIE</t>
  </si>
  <si>
    <t>&lt;Location&gt;</t>
  </si>
  <si>
    <t>Tomorrow</t>
  </si>
  <si>
    <t>https://shopee.ph/%E3%80%90ROSIE%E3%80%91Unisex-Outdoor-Mountain-Trekking-Climbing-Men-Hiking-Shoe-Non-slip-Breathable-Camping-Running-Sport-Sneakers-BY201-i.813266782.41005427222?extraParams=%7B%22display_model_id%22%3A295520788874%2C%22model_selection_logic%22%3A3%7D&amp;sp_atk=146df0b2-9c56-4f60-aa32-02cc4e079eda&amp;xptdk=146df0b2-9c56-4f60-aa32-02cc4e079eda</t>
  </si>
  <si>
    <t>Men's Hiking w/ Anti-Skid Shoes Super Flex Sneakers #M282 (Standard Size) NO SHOE BOX</t>
  </si>
  <si>
    <t>Jeiky</t>
  </si>
  <si>
    <t>Guiguinto, Bulacan</t>
  </si>
  <si>
    <t>https://shopee.ph/JEIKY.-Men's-Hiking-w-Anti-Skid-Shoes-Super-Flex-Sneakers-M282-(Standard-Size)-NO-SHOE-BOX-i.186283335.18660182064?extraParams=%7B%22display_model_id%22%3A88921857348%2C%22model_selection_logic%22%3A3%7D&amp;sp_atk=56f4e361-f1b8-479d-a168-dd7dcddc16f8&amp;xptdk=56f4e361-f1b8-479d-a168-dd7dcddc16f8</t>
  </si>
  <si>
    <t>Hiking shoes For Outdoor Sports Non-Slip Breathable Mesh Men's Quick-dry Rubber Climbing Trekking</t>
  </si>
  <si>
    <t>Balagtas, Bulacan</t>
  </si>
  <si>
    <t>https://shopee.ph/Hiking-shoes-For-Outdoor-Sports-Non-Slip-Breathable-Mesh-Men's-Quick-dry-Rubber-Climbing-Trekking-i.603853882.40701797731?extraParams=%7B%22display_model_id%22%3A306092768796%2C%22model_selection_logic%22%3A3%7D&amp;sp_atk=e5b5ebfb-bd8b-4fef-bbb5-b7f3bedd13de&amp;xptdk=e5b5ebfb-bd8b-4fef-bbb5-b7f3bedd13de</t>
  </si>
  <si>
    <t>Women's outdoor hiking shoes, convenient and simple, comfortable on the feet</t>
  </si>
  <si>
    <t>PinoySoles</t>
  </si>
  <si>
    <t>San Pedro, Laguna</t>
  </si>
  <si>
    <t>https://shopee.ph/PinoySoles-Women's-outdoor-hiking-shoes-convenient-and-simple-comfortable-on-the-feet-i.1678920579.49002730043?extraParams=%7B%22display_model_id%22%3A445260744671%2C%22model_selection_logic%22%3A3%7D&amp;sp_atk=6dd1f00f-59ba-4d98-b80b-ef173b92928d&amp;xptdk=6dd1f00f-59ba-4d98-b80b-ef173b92928d</t>
  </si>
  <si>
    <t>Unisex Outdoor Mountain Trekking Climbing Hiking Shoe Camping Running Sport Sneakers</t>
  </si>
  <si>
    <t>https://shopee.ph/Unisex-Outdoor-Mountain-Trekking-Climbing-Hiking-Shoe-Camping-Running-Sport-Sneakers-i.1039442399.23250386354?extraParams=%7B%22display_model_id%22%3A215056771919%2C%22model_selection_logic%22%3A3%7D&amp;sp_atk=d17abe93-eefa-4a87-af85-2817e7218575&amp;xptdk=d17abe93-eefa-4a87-af85-2817e7218575</t>
  </si>
  <si>
    <t>Hiking Shoes Men/women Rubber Anti-slip Waterproof Wading Shoes Breathable Lightweight</t>
  </si>
  <si>
    <t>Whitby</t>
  </si>
  <si>
    <t>Valenzuela City, Metro Manila</t>
  </si>
  <si>
    <t>https://shopee.ph/WHITBY-Hiking-Shoes-Men-women-Rubber-Anti-slip-Waterproof-Wading-Shoes-Breathable-Lightweight-i.1550769285.51007643153?extraParams=%7B%22display_model_id%22%3A430772537953%2C%22model_selection_logic%22%3A3%7D&amp;sp_atk=da9f902a-4a31-42b1-b897-a8d0fccf6aee&amp;xptdk=da9f902a-4a31-42b1-b897-a8d0fccf6aee</t>
  </si>
  <si>
    <t>https://shopee.ph/Unisex-Outdoor-Mountain-Trekking-Climbing-Hiking-Shoe-Camping-Running-Sport-Sneakers-i.1101441136.41660218634?extraParams=%7B%22display_model_id%22%3A216178187657%2C%22model_selection_logic%22%3A3%7D&amp;sp_atk=9542b861-9e17-4446-b254-4cc67be7cb71&amp;xptdk=9542b861-9e17-4446-b254-4cc67be7cb71</t>
  </si>
  <si>
    <t>Hiking shoes camping trekking shoes hiking shoes women Sport Breathable Slip-resistant outdoor shoes</t>
  </si>
  <si>
    <t>https://shopee.ph/Hiking-shoes-camping-trekking-shoes-hiking-shoes-women-Sport-Breathable-Slip-resistant-outdoor-shoes-i.1367229124.26180031999?extraParams=%7B%22display_model_id%22%3A247924902506%2C%22model_selection_logic%22%3A3%7D&amp;sp_atk=f1b76a7d-a8d4-4838-94a0-442b61a7d8d7&amp;xptdk=f1b76a7d-a8d4-4838-94a0-442b61a7d8d7</t>
  </si>
  <si>
    <t>Men/women Outdoor Mountain Trekking Climbing Hiking Shoes Breathable Camping Running Sport Sneakers</t>
  </si>
  <si>
    <t>https://shopee.ph/Men-women-Outdoor-Mountain-Trekking-Climbing-Hiking-Shoes-Breathable-Camping-Running-Sport-Sneakers-i.547543986.49658862172?extraParams=%7B%22display_model_id%22%3A262538200192%2C%22model_selection_logic%22%3A3%7D&amp;sp_atk=1740c166-38e8-4bf1-8efd-257c5fe5b5da&amp;xptdk=1740c166-38e8-4bf1-8efd-257c5fe5b5da</t>
  </si>
  <si>
    <r>
      <rPr>
        <sz val="11"/>
        <color theme="1"/>
        <rFont val="DejaVu Sans"/>
        <family val="2"/>
      </rPr>
      <t>【</t>
    </r>
    <r>
      <rPr>
        <sz val="11"/>
        <color theme="1"/>
        <rFont val="Calibri"/>
        <family val="2"/>
        <charset val="1"/>
      </rPr>
      <t>COD</t>
    </r>
    <r>
      <rPr>
        <sz val="11"/>
        <color theme="1"/>
        <rFont val="DejaVu Sans"/>
        <family val="2"/>
      </rPr>
      <t>】</t>
    </r>
    <r>
      <rPr>
        <sz val="11"/>
        <color theme="1"/>
        <rFont val="Calibri"/>
        <family val="2"/>
        <charset val="1"/>
      </rPr>
      <t>Men Hiking Shoes Outdoor Sports Non-slip Breathable mesh climbing cloth shoes Trekking Aqua shoes#BY201</t>
    </r>
  </si>
  <si>
    <t>https://shopee.ph/%E3%80%90COD%E3%80%91Men-Hiking-Shoes-Outdoor-Sports-Non-slip-Breathable-mesh-climbing-cloth-shoes-Trekking-Aqua-shoes-BY201-i.727690310.44058350337?extraParams=%7B%22display_model_id%22%3A300703119709%2C%22model_selection_logic%22%3A3%7D&amp;sp_atk=4dbf58be-0160-4849-858d-09647fece4e6&amp;xptdk=4dbf58be-0160-4849-858d-09647fece4e6</t>
  </si>
  <si>
    <t>Men Hiking Shoes Non-slip Breathable Mesh Climbing Cloth Shoes Trekking Outdoor Sports Shoes</t>
  </si>
  <si>
    <t>Hankins</t>
  </si>
  <si>
    <t>https://shopee.ph/HANKINS-Men-Hiking-Shoes-Non-slip-Breathable-Mesh-Climbing-Cloth-Shoes-Trekking-Outdoor-Sports-Shoes-i.863243447.18873240714?extraParams=%7B%22display_model_id%22%3A183848803299%2C%22model_selection_logic%22%3A3%7D&amp;sp_atk=1564b3b6-ff64-4701-a263-b04ec6e32217&amp;xptdk=1564b3b6-ff64-4701-a263-b04ec6e32217</t>
  </si>
  <si>
    <t>Aqua Shoes for women men speedo aqua shoes camping shoes for beach Quick-Dry trekking aqua shoes</t>
  </si>
  <si>
    <t>https://shopee.ph/Aqua-Shoes-for-women-men-speedo-aqua-shoes-camping-shoes-for-beach-Quick-Dry-trekking-aqua-shoes-i.1367229124.26330102763?extraParams=%7B%22display_model_id%22%3A157812956704%2C%22model_selection_logic%22%3A3%7D&amp;sp_atk=ff03f23a-17c4-4620-ba8e-ca7033cd6803&amp;xptdk=ff03f23a-17c4-4620-ba8e-ca7033cd6803</t>
  </si>
  <si>
    <t>Men's Outdoor Mountain Climbing Mountain Climbing Camping Running Sports Sports Shoes</t>
  </si>
  <si>
    <t>https://shopee.ph/WHITBY-Men's-Outdoor-Mountain-Climbing-Mountain-Climbing-Camping-Running-Sports-Sports-Shoes-i.1550769285.28240933234?extraParams=%7B%22display_model_id%22%3A425496069654%2C%22model_selection_logic%22%3A3%7D&amp;sp_atk=abf42603-4e2b-4f20-ade6-4150203af89d&amp;xptdk=abf42603-4e2b-4f20-ade6-4150203af89d</t>
  </si>
  <si>
    <t>Unisex Hiking Shoes Quick-dry Rubber Rock Climbing Shoes Non-slip Walking Shoes For Men Women Size 36 to 45</t>
  </si>
  <si>
    <t>https://shopee.ph/Unisex-Hiking-Shoes-Quick-dry-Rubber-Rock-Climbing-Shoes-Non-slip-Walking-Shoes-For-Men-Women-Size-36-to-45-i.1338796640.27909121275?extraParams=%7B%22display_model_id%22%3A256462687957%2C%22model_selection_logic%22%3A3%7D&amp;sp_atk=49e10197-c3ce-47d8-9df5-f69af515e321&amp;xptdk=49e10197-c3ce-47d8-9df5-f69af515e321</t>
  </si>
  <si>
    <t>Hiking Shoes Men Women Waterproof Trekking Shoes Water Rafting Shoe Outdoor Camping Water Rafting</t>
  </si>
  <si>
    <t>https://shopee.ph/Hiking-Shoes-Men-Women-Waterproof-Trekking-Shoes-Water-Rafting-Shoe-Outdoor-Camping-Water-Rafting-i.1039442399.29939584594?extraParams=%7B%22display_model_id%22%3A196194613023%2C%22model_selection_logic%22%3A3%7D&amp;sp_atk=cbae197c-61d4-43bf-acfd-1331994990c9&amp;xptdk=cbae197c-61d4-43bf-acfd-1331994990c9</t>
  </si>
  <si>
    <t>Men Sports Shoes Summer Breathable Hiking Shoes Outdoor Men Mesh Non-Slip Climbing Sneakers</t>
  </si>
  <si>
    <t>Hoheweg</t>
  </si>
  <si>
    <t>https://shopee.ph/HOHEWEG-Men-Sports-Shoes-Summer-Breathable-Hiking-Shoes-Outdoor-Men-Mesh-Non-Slip-Climbing-Sneakers-i.1105626889.55103253482?extraParams=%7B%22display_model_id%22%3A400389128991%2C%22model_selection_logic%22%3A3%7D&amp;sp_atk=b41c4938-8ea5-42d1-94be-d1653c2d9e73&amp;xptdk=b41c4938-8ea5-42d1-94be-d1653c2d9e73</t>
  </si>
  <si>
    <t>Hiking Shoes Men/women Rubber Anti-slip Waterproof Wading Shoes Breathable Lightweight Sports Shoes</t>
  </si>
  <si>
    <t>https://shopee.ph/Hiking-Shoes-Men-women-Rubber-Anti-slip-Waterproof-Wading-Shoes-Breathable-Lightweight-Sports-Shoes-i.1645290082.44023657990?extraParams=%7B%22display_model_id%22%3A261923121379%2C%22model_selection_logic%22%3A3%7D&amp;sp_atk=c96e7e1a-be5e-47eb-9e52-64d54b62f836&amp;xptdk=c96e7e1a-be5e-47eb-9e52-64d54b62f836</t>
  </si>
  <si>
    <t>Hiking Shoes Breathable Soft Non-slip Comfortable Slip-On Trekking Shoes for Beach Outdoor</t>
  </si>
  <si>
    <t>SindBab</t>
  </si>
  <si>
    <t>https://shopee.ph/SindBab-Hiking-Shoes-Breathable-Soft-Non-slip-Comfortable-Slip-On-Trekking-Shoes-for-Beach-Outdoor-i.1105129340.55253431257?extraParams=%7B%22display_model_id%22%3A340373645273%2C%22model_selection_logic%22%3A3%7D&amp;sp_atk=a65ad691-357a-4dd9-b745-d40f412ccad2&amp;xptdk=a65ad691-357a-4dd9-b745-d40f412ccad2</t>
  </si>
  <si>
    <t>Men/Women Hiking Shoe Outdoor Sports Wading Non-slip Rubber Trekking Quick-drying Climbing</t>
  </si>
  <si>
    <t>https://shopee.ph/Men-Women-Hiking-Shoe-Outdoor-Sports-Wading-Non-slip-Rubber-Trekking-Quick-drying-Climbing-i.864067560.19148043389?extraParams=%7B%22display_model_id%22%3A178020761179%2C%22model_selection_logic%22%3A3%7D&amp;sp_atk=7887c132-91d9-434d-b187-8ecd7471ba3c&amp;xptdk=7887c132-91d9-434d-b187-8ecd7471ba3c</t>
  </si>
  <si>
    <t>Men's Outdoor Hiking Shoes Are Non Slip Wear-Resistant And Breathable Suitable For Hiking Camping</t>
  </si>
  <si>
    <t>https://shopee.ph/Men's-Outdoor-Hiking-Shoes-Are-Non-Slip-Wear-Resistant-And-Breathable-Suitable-For-Hiking-Camping-i.902510653.53058066920?extraParams=%7B%22display_model_id%22%3A375810806587%2C%22model_selection_logic%22%3A3%7D&amp;sp_atk=857bead1-3d18-423c-933e-cb84c214f5a2&amp;xptdk=857bead1-3d18-423c-933e-cb84c214f5a2</t>
  </si>
  <si>
    <t>Men Hiking Shoes Water-resistant Wear-resistant Suitable Sports Shoes Outdoor Anti-slip Running Shoe</t>
  </si>
  <si>
    <t>https://shopee.ph/Men-Hiking-Shoes-Water-resistant-Wear-resistant-Suitable-Sports-Shoes-Outdoor-Anti-slip-Running-Shoe-i.1645290082.48057162173?extraParams=%7B%22display_model_id%22%3A292452117654%2C%22model_selection_logic%22%3A3%7D&amp;sp_atk=37a70d7c-221d-4446-a89c-dc77a98530cb&amp;xptdk=37a70d7c-221d-4446-a89c-dc77a98530cb</t>
  </si>
  <si>
    <t>Durable Sole Outdoor Hiking Shoes For Men Non Skid Sneakers For Men Black Shoes For Men</t>
  </si>
  <si>
    <t>https://shopee.ph/Durable-Sole-Outdoor-Hiking-Shoes-For-Men-Non-Skid-Sneakers-For-Men-Black-Shoes-For-Men-i.792620189.28850427693?extraParams=%7B%22display_model_id%22%3A240858622225%2C%22model_selection_logic%22%3A3%7D&amp;sp_atk=adf7b567-2f39-4dbb-a979-fb91f3c939fe&amp;xptdk=adf7b567-2f39-4dbb-a979-fb91f3c939fe</t>
  </si>
  <si>
    <t>colorful river shoes, hiking shoes, breathable sports women's shoes women breathable shoes</t>
  </si>
  <si>
    <t>KMY</t>
  </si>
  <si>
    <t>Pulilan, Bulacan</t>
  </si>
  <si>
    <t>https://shopee.ph/KMY-colorful-river-shoes-hiking-shoes-breathable-sports-women's-shoes-women-breathable-shoes-i.1035987849.25632400224?extraParams=%7B%22display_model_id%22%3A215929797483%2C%22model_selection_logic%22%3A3%7D&amp;sp_atk=ccf44b2f-dbd1-44c4-adc2-103fab863f3a&amp;xptdk=ccf44b2f-dbd1-44c4-adc2-103fab863f3a</t>
  </si>
  <si>
    <t>Sierra (Sports Hiking Trekking Shoes for Men)</t>
  </si>
  <si>
    <t>ShoePer</t>
  </si>
  <si>
    <t>Bacoor, Cavite</t>
  </si>
  <si>
    <t>https://shopee.ph/ShoePer-Sierra-(Sports-Hiking-Trekking-Shoes-for-Men)-i.130072315.3817432362?extraParams=%7B%22display_model_id%22%3A13655068795%2C%22model_selection_logic%22%3A3%7D&amp;sp_atk=997ee019-1af3-4782-b7f1-9fa7502a6ae5&amp;xptdk=997ee019-1af3-4782-b7f1-9fa7502a6ae5</t>
  </si>
  <si>
    <t>COD New Preferred Men's Hiking Shoes Mountaineering Waterproof Outdoor Shoes</t>
  </si>
  <si>
    <t>Caloocan City, Metro Manila</t>
  </si>
  <si>
    <t>https://shopee.ph/COD-New-Preferred-Men's-Hiking-Shoes-Mountaineering-Waterproof-Outdoor-Shoes-i.1041826992.25206548518?extraParams=%7B%22display_model_id%22%3A222427330221%2C%22model_selection_logic%22%3A3%7D&amp;sp_atk=1181e346-1051-4f43-9727-b6e628bff43e&amp;xptdk=1181e346-1051-4f43-9727-b6e628bff43e</t>
  </si>
  <si>
    <t>Outdoor Hiking Shoes for Men Mesh Casual Running Wading Shoes Wide Toe Thick Sole Fishing Shoes</t>
  </si>
  <si>
    <t>San Nicolas, Metro Manila</t>
  </si>
  <si>
    <t>https://shopee.ph/Outdoor-Hiking-Shoes-for-Men-Mesh-Casual-Running-Wading-Shoes-Wide-Toe-Thick-Sole-Fishing-Shoes-i.511081584.50302392051?extraParams=%7B%22display_model_id%22%3A340231596177%2C%22model_selection_logic%22%3A3%7D&amp;sp_atk=2dc0ca5c-dc87-40b5-ad2b-d6544f37561c&amp;xptdk=2dc0ca5c-dc87-40b5-ad2b-d6544f37561c</t>
  </si>
  <si>
    <t>Department shop Hiking Shoes Waterproof Trekking ShoesWater Rafting Outdoor Camping Shoes For Mens</t>
  </si>
  <si>
    <t>Quezon City, Metro Manila</t>
  </si>
  <si>
    <t>nan</t>
  </si>
  <si>
    <t>https://shopee.ph/Department-shop-Hiking-Shoes-Waterproof-Trekking-ShoesWater-Rafting-Outdoor-Camping-Shoes-For-Mens-i.1386269665.54300179964?extraParams=%7B%22display_model_id%22%3A355017717613%2C%22model_selection_logic%22%3A3%7D&amp;sp_atk=2b031046-9a42-45c6-aa76-49cbd168f80c&amp;xptdk=2b031046-9a42-45c6-aa76-49cbd168f80c</t>
  </si>
  <si>
    <t>Outdoor Hiking Shoes for Men Climbing Mountains Wading Through Water AntiSlip WearResistant Sneakers</t>
  </si>
  <si>
    <t>https://shopee.ph/Outdoor-Hiking-Shoes-for-Men-Climbing-Mountains-Wading-Through-Water-AntiSlip-WearResistant-Sneakers-i.1053074400.56500013905?extraParams=%7B%22display_model_id%22%3A445001615598%2C%22model_selection_logic%22%3A3%7D&amp;sp_atk=5b750c2d-1952-415b-b8c6-298febb8ab98&amp;xptdk=5b750c2d-1952-415b-b8c6-298febb8ab98</t>
  </si>
  <si>
    <t>Outdoor Hiking Shoes Sports Shoes Cycling Shoes Lightweight and Breathable COD</t>
  </si>
  <si>
    <t>Solomon</t>
  </si>
  <si>
    <t>https://shopee.ph/Ready-Stock-Solomon-Outdoor-Hiking-Shoes-Sports-Shoes-Cycling-Shoes-Lightweight-and-Breathable-COD-i.1078707004.24507332598?extraParams=%7B%22display_model_id%22%3A194861618704%2C%22model_selection_logic%22%3A3%7D&amp;sp_atk=6740e820-5189-441e-85a9-5db84f1463a4&amp;xptdk=6740e820-5189-441e-85a9-5db84f1463a4</t>
  </si>
  <si>
    <t>Men Hiking Shoes Trekking Breathable Outdoor Sneakers Climbing Training Non-slip Sports Shoes Camping Trail Jogging Shoes</t>
  </si>
  <si>
    <t>Mainland China</t>
  </si>
  <si>
    <t>3-7 Days</t>
  </si>
  <si>
    <t>https://shopee.ph/Men-Hiking-Shoes-Trekking-Breathable-Outdoor-Sneakers-Climbing-Training-Non-slip-Sports-Shoes-Camping-Trail-Jogging-Shoes-i.301918512.43103325262?extraParams=%7B%22display_model_id%22%3A224273396380%2C%22model_selection_logic%22%3A3%7D&amp;sp_atk=177551a5-b9f3-4a6f-905d-91bcc575a944&amp;xptdk=177551a5-b9f3-4a6f-905d-91bcc575a944</t>
  </si>
  <si>
    <t>Woman Bicycle Shoes Hiking Shoes Outdoor Sneakers for Lightweight Outdoor Jogging Shoes Mountain Shoes COD</t>
  </si>
  <si>
    <t>4-8 Days</t>
  </si>
  <si>
    <t>https://shopee.ph/Solomon-series-Woman-Bicycle-Shoes-Hiking-Shoes-Outdoor-Sneakers-for-Lightweight-Outdoor-Jogging-Shoes-Mountain-Shoes-COD-i.447653111.9659465464?extraParams=%7B%22display_model_id%22%3A93688503678%2C%22model_selection_logic%22%3A3%7D&amp;sp_atk=10973676-d53a-49c1-8c57-5a57321ad4ba&amp;xptdk=10973676-d53a-49c1-8c57-5a57321ad4ba</t>
  </si>
  <si>
    <t>Swift Water Shoes Rubber Non-Slip Yoga Hiking Camping Skin Shoes (E301) EU36 to EU43</t>
  </si>
  <si>
    <t>Tactics</t>
  </si>
  <si>
    <t>https://shopee.ph/Tactics-Swift-Water-Shoes-Rubber-Non-Slip-Yoga-Hiking-Camping-Skin-Shoes-(E301)-EU36-to-EU43-i.71016372.20595737134?extraParams=%7B%22display_model_id%22%3A127794318276%2C%22model_selection_logic%22%3A3%7D&amp;sp_atk=701c3f3d-0d0b-447d-8bb4-8f0d92c76258&amp;xptdk=701c3f3d-0d0b-447d-8bb4-8f0d92c76258</t>
  </si>
  <si>
    <t>Men's Hiking Shoes-Nh50 Low</t>
  </si>
  <si>
    <t>Decathlon</t>
  </si>
  <si>
    <t>Binan City, Laguna</t>
  </si>
  <si>
    <t>https://shopee.ph/Decathlon-Men's-Hiking-Shoes-Nh50-Low-i.388032588.26581556466?extraParams=%7B%22display_model_id%22%3A159103397060%2C%22model_selection_logic%22%3A3%7D&amp;sp_atk=9bf14ea7-36e2-4e1b-8116-4102fce0deef&amp;xptdk=9bf14ea7-36e2-4e1b-8116-4102fce0deef</t>
  </si>
  <si>
    <t>Women's Outdoor Hiking Shoes Breathable Non-slip Sports Shoes</t>
  </si>
  <si>
    <t>Camel Crown</t>
  </si>
  <si>
    <t>https://shopee.ph/CAMEL-CROWN-Women's-Outdoor-Hiking-Shoes-Breathable-Non-slip-Sports-Shoes-i.391503503.28623077415?extraParams=%7B%22display_model_id%22%3A188134845678%2C%22model_selection_logic%22%3A3%7D&amp;sp_atk=4ca7f59c-b23d-470e-a4e3-5300dbb9fca1&amp;xptdk=4ca7f59c-b23d-470e-a4e3-5300dbb9fca1</t>
  </si>
  <si>
    <t>Qingyan 2nd Generation Men's Hiking Shoes Outdoor Breathable Non-Slip Sports Shoes</t>
  </si>
  <si>
    <t>Camel</t>
  </si>
  <si>
    <t>6 Days</t>
  </si>
  <si>
    <t>https://shopee.ph/Camel-Qingyan-2nd-Generation-Men's-Hiking-Shoes-Outdoor-Breathable-Non-Slip-Sports-Shoes-i.264048497.56206121064?extraParams=%7B%22display_model_id%22%3A310556710378%2C%22model_selection_logic%22%3A3%7D&amp;sp_atk=27f0323e-ca94-4a52-9000-0ba1b322eb32&amp;xptdk=27f0323e-ca94-4a52-9000-0ba1b322eb32</t>
  </si>
  <si>
    <t>Hiking Shoes Gel-Pickaxs (men size)</t>
  </si>
  <si>
    <t>Pasig City, Metro Manila</t>
  </si>
  <si>
    <t>https://shopee.ph/Hiking-Shoes-Gel-Pickaxs-(men-size)-i.629325583.27383419382?extraParams=%7B%22display_model_id%22%3A205992044577%2C%22model_selection_logic%22%3A3%7D&amp;sp_atk=eb4d0d83-8e53-4a6d-bd12-5e88eb57100d&amp;xptdk=eb4d0d83-8e53-4a6d-bd12-5e88eb57100d</t>
  </si>
  <si>
    <t>Qingyan 2nd Generation Women's Hiking Shoes Outdoor Breathable Non-Slip Sports Shoes</t>
  </si>
  <si>
    <t>4-7 Days</t>
  </si>
  <si>
    <t>https://shopee.ph/Camel-Qingyan-2nd-Generation-Women's-Hiking-Shoes-Outdoor-Breathable-Non-Slip-Sports-Shoes-i.264048497.51206120847?extraParams=%7B%22display_model_id%22%3A244171732561%2C%22model_selection_logic%22%3A3%7D&amp;sp_atk=4d26942f-18a5-43c6-9772-b20411fa9287&amp;xptdk=4d26942f-18a5-43c6-9772-b20411fa9287</t>
  </si>
  <si>
    <t>men's outdoor wear-resistant non-slip hiking travel casual shoes</t>
  </si>
  <si>
    <t>https://shopee.ph/CAMEL-men's-outdoor-wear-resistant-non-slip-hiking-travel-casual-shoes-i.264048497.21836108219?extraParams=%7B%22display_model_id%22%3A174125276027%2C%22model_selection_logic%22%3A3%7D&amp;sp_atk=bdc508e5-58a1-46e4-96e9-464821485468&amp;xptdk=bdc508e5-58a1-46e4-96e9-464821485468</t>
  </si>
  <si>
    <t>Women's Non-slip Wear-resistant Hiking Shoes Outdoor Sports Shoes</t>
  </si>
  <si>
    <t>https://shopee.ph/CAMEL-CROWN-Women's-Non-slip-Wear-resistant-Hiking-Shoes-Outdoor-Sports-Shoes-i.391503503.23326671491?extraParams=%7B%22display_model_id%22%3A231041487486%2C%22model_selection_logic%22%3A3%7D&amp;sp_atk=b17035c1-9784-4b83-8331-0de6bebadd99&amp;xptdk=b17035c1-9784-4b83-8331-0de6bebadd99</t>
  </si>
  <si>
    <t>Men's Hiking Shoes Breathable Shock Absorbing Sports Shoes</t>
  </si>
  <si>
    <t>https://shopee.ph/CAMEL-CROWN-Men's-Hiking-Shoes-Breathable-Shock-Absorbing-Sports-Shoes-i.391503503.26328746165?extraParams=%7B%22display_model_id%22%3A129269554678%2C%22model_selection_logic%22%3A3%7D&amp;sp_atk=46c6420c-b007-4df1-9e71-c62136fc5f17&amp;xptdk=46c6420c-b007-4df1-9e71-c62136fc5f17</t>
  </si>
  <si>
    <t>Women's Outdoor Hiking Shoes Waterproof Non-slip Outdoor Sports Shoes</t>
  </si>
  <si>
    <t>https://shopee.ph/CAMEL-CROWN-Women's-Outdoor-Hiking-Shoes-Waterproof-Non-slip-Outdoor-Sports-Shoes-i.391503503.19496223820?extraParams=%7B%22display_model_id%22%3A255169739339%2C%22model_selection_logic%22%3A3%7D&amp;sp_atk=0b144eee-6cd7-456c-89f8-fb89a7e553d4&amp;xptdk=0b144eee-6cd7-456c-89f8-fb89a7e553d4</t>
  </si>
  <si>
    <t>Men's outdoor non-slip and wear-resistant hiking shoes</t>
  </si>
  <si>
    <t>https://shopee.ph/CAMEL-CROWN-Men's-outdoor-non-slip-and-wear-resistant-hiking-shoes-i.391503503.24609174125?extraParams=%7B%22display_model_id%22%3A194878592818%2C%22model_selection_logic%22%3A3%7D&amp;sp_atk=e673c863-b64f-4746-b618-73c0dba6f0f1&amp;xptdk=e673c863-b64f-4746-b618-73c0dba6f0f1</t>
  </si>
  <si>
    <t>Kunlun Mountain Pro Anti-slip Breathable Outdoor Hiking Shoes for Couples</t>
  </si>
  <si>
    <t>https://shopee.ph/Camel-Kunlun-Mountain-Pro-Anti-slip-Breathable-Outdoor-Hiking-Shoes-for-Couples-i.264048497.45754920699?extraParams=%7B%22display_model_id%22%3A315453704312%2C%22model_selection_logic%22%3A3%7D&amp;sp_atk=68dcab81-bf20-41cf-9d68-344090674250&amp;xptdk=68dcab81-bf20-41cf-9d68-344090674250</t>
  </si>
  <si>
    <t>Women Non-slip Breathable Sports Running Shoes Outdoor Hiking Shoes</t>
  </si>
  <si>
    <t>https://shopee.ph/CAMEL-CROWN-Women-Non-slip-Breathable-Sports-Running-Shoes-Outdoor-Hiking-Shoes-i.391503503.16996498146?extraParams=%7B%22display_model_id%22%3A176162599054%2C%22model_selection_logic%22%3A3%7D&amp;sp_atk=81b18f10-f1f2-4409-8128-0afca5b01087&amp;xptdk=81b18f10-f1f2-4409-8128-0afca5b01087</t>
  </si>
  <si>
    <t>Women's Outdoor Hiking Shoes Breathable Non-Slip Casual Shoes</t>
  </si>
  <si>
    <t>https://shopee.ph/CAMEL-CROWN-Women's-Outdoor-Hiking-Shoes-Breathable-Non-Slip-Casual-Shoes-i.391503503.23152755687?extraParams=%7B%22display_model_id%22%3A108642421665%2C%22model_selection_logic%22%3A3%7D&amp;sp_atk=ab560368-1c59-44a5-ac53-d6c36f0b662d&amp;xptdk=ab560368-1c59-44a5-ac53-d6c36f0b662d</t>
  </si>
  <si>
    <t>Women Outdoor Hiking Shoes Wear-Resistant Non-Slip Shock-Absorbing</t>
  </si>
  <si>
    <t>https://shopee.ph/CAMEL-Women-Outdoor-Hiking-Shoes-Wear-Resistant-Non-Slip-Shock-Absorbing-i.264048497.14758677058?extraParams=%7B%22display_model_id%22%3A127587971946%2C%22model_selection_logic%22%3A3%7D&amp;sp_atk=87a99410-76ee-4e1a-9f76-f215740dcdc8&amp;xptdk=87a99410-76ee-4e1a-9f76-f215740dcdc8</t>
  </si>
  <si>
    <t>MOUNTAIN SHADOW Men’s New Trail Running Shoes Outdoor Hiking Trekking Shoes</t>
  </si>
  <si>
    <t>https://shopee.ph/CAMEL-CROWN-MOUNTAIN-SHADOW-Men%E2%80%99s-New-Trail-Running-Shoes-Outdoor-Hiking-Trekking-Shoes-i.778562883.27543814119?extraParams=%7B%22display_model_id%22%3A272258724367%2C%22model_selection_logic%22%3A3%7D&amp;sp_atk=0f9b2919-917b-4799-be4a-7c170a5bbe01&amp;xptdk=0f9b2919-917b-4799-be4a-7c170a5bbe01</t>
  </si>
  <si>
    <t>Men Women River Trekking Shoes Outdoor Hiking Hollow Breathable 672522255</t>
  </si>
  <si>
    <t>361 Degrees</t>
  </si>
  <si>
    <t>5-8 Days</t>
  </si>
  <si>
    <t>https://shopee.ph/361-Degrees-Men-Women-River-Trekking-Shoes-Outdoor-Hiking-Hollow-Breathable-672522255-i.295119033.29932319452?extraParams=%7B%22display_model_id%22%3A128288189934%2C%22model_selection_logic%22%3A3%7D&amp;sp_atk=ed171807-321f-4992-8c64-46cc8b20617f&amp;xptdk=ed171807-321f-4992-8c64-46cc8b20617f</t>
  </si>
  <si>
    <t>Unisex Non-slip ​​​​​​​Mesh Breathable Hiking Outdoor Sports Running Shoes</t>
  </si>
  <si>
    <t>https://shopee.ph/CAMEL-Unisex-Non-slip-%E2%80%8B%E2%80%8B%E2%80%8B%E2%80%8B%E2%80%8B%E2%80%8B%E2%80%8BMesh-Breathable-Hiking-Outdoor-Sports-Running-Shoes-i.264048497.51358117189?extraParams=%7B%22display_model_id%22%3A128463577530%2C%22model_selection_logic%22%3A3%7D&amp;sp_atk=26c9ec27-df29-4df6-b13a-d75d286403ab&amp;xptdk=26c9ec27-df29-4df6-b13a-d75d286403ab</t>
  </si>
  <si>
    <t>Outdoor Mountaineering Summer New Breathable Non-slip Sports Hiking Cross-country Shoes for Men and Women Couples Style</t>
  </si>
  <si>
    <t>https://shopee.ph/Camel-Outdoor-Mountaineering-Summer-New-Breathable-Non-slip-Sports-Hiking-Cross-country-Shoes-for-Men-and-Women-Couples-Style-i.264048497.29051142329?extraParams=%7B%22display_model_id%22%3A215131852768%2C%22model_selection_logic%22%3A3%7D&amp;sp_atk=727f3720-4f1e-4a87-b207-5136332b9a4f&amp;xptdk=727f3720-4f1e-4a87-b207-5136332b9a4f</t>
  </si>
  <si>
    <t>Breathable Mesh Outdoor Casual Hiking Shoes</t>
  </si>
  <si>
    <t>https://shopee.ph/CAMEL-Breathable-Mesh-Outdoor-Casual-Hiking-Shoes-i.264048497.19483458142?extraParams=%7B%22display_model_id%22%3A214539275966%2C%22model_selection_logic%22%3A3%7D&amp;sp_atk=dc63ae86-0271-4e0f-b9e1-e08f58181128&amp;xptdk=dc63ae86-0271-4e0f-b9e1-e08f58181128</t>
  </si>
  <si>
    <t>CloudEase 2 Women's Hiking Sneakers</t>
  </si>
  <si>
    <t>4-6 Days</t>
  </si>
  <si>
    <t>https://shopee.ph/CAMEL-CROWN-CloudEase-2-Women's-Hiking-Sneakers-i.778562883.57400335279?extraParams=%7B%22display_model_id%22%3A335280860897%2C%22model_selection_logic%22%3A3%7D&amp;sp_atk=b044de84-f170-4a7d-8b61-1f8cc2448ee1&amp;xptdk=b044de84-f170-4a7d-8b61-1f8cc2448ee1</t>
  </si>
  <si>
    <t>Women's Outdoor Hiking Shoes Non-slip Hiking Shoes</t>
  </si>
  <si>
    <t>https://shopee.ph/CAMEL-CROWN-Women's-Outdoor-Hiking-Shoes-Non-slip-Hiking-Shoes-i.391503503.29858538575?extraParams=%7B%22display_model_id%22%3A88983427782%2C%22model_selection_logic%22%3A3%7D&amp;sp_atk=0b4ff6ba-13c7-4acd-b2f4-83a7ebe38192&amp;xptdk=0b4ff6ba-13c7-4acd-b2f4-83a7ebe38192</t>
  </si>
  <si>
    <t>Women's Outdoor Hiking and Mountaineering Shoes Running Shoes</t>
  </si>
  <si>
    <t>https://shopee.ph/CAMEL-CROWN-Women's-Outdoor-Hiking-and-Mountaineering-Shoes-Running-Shoes-i.391503503.24373297187?extraParams=%7B%22display_model_id%22%3A138972583478%2C%22model_selection_logic%22%3A3%7D&amp;sp_atk=4bc1540f-e540-4d73-a750-d832ee754687&amp;xptdk=4bc1540f-e540-4d73-a750-d832ee754687</t>
  </si>
  <si>
    <t>Kunlun Mountain 3.0 outdoor off-road hiking shoes non-slip breathable hiking shoes sports shoes</t>
  </si>
  <si>
    <t>https://shopee.ph/Camel-Kunlun-Mountain-3.0-outdoor-off-road-hiking-shoes-non-slip-breathable-hiking-shoes-sports-shoes-i.264048497.24546281201?extraParams=%7B%22display_model_id%22%3A224401367137%2C%22model_selection_logic%22%3A3%7D&amp;sp_atk=106e723f-93de-4f5f-8c2e-ad9c778ea71e&amp;xptdk=106e723f-93de-4f5f-8c2e-ad9c778ea71e</t>
  </si>
  <si>
    <t>New Summer Chasing Mountains Men Outdoor Hiking Shoes Durable Anti-slip Cross-country Sneakers</t>
  </si>
  <si>
    <t>Xtep</t>
  </si>
  <si>
    <t>https://shopee.ph/Xtep-New-Summer-Chasing-Mountains-Men-Outdoor-Hiking-Shoes-Durable-Anti-slip-Cross-country-Sneakers-i.335539781.46657823582?extraParams=%7B%22display_model_id%22%3A420693699291%2C%22model_selection_logic%22%3A3%7D&amp;sp_atk=7927e0ef-814b-4693-b1dd-6c72ba457f2d&amp;xptdk=7927e0ef-814b-4693-b1dd-6c72ba457f2d</t>
  </si>
  <si>
    <t>Hiking Sneakers Splash-proof Breathable Anti-Slip Shockproof Running Climbing Oudoor Sports Shoes</t>
  </si>
  <si>
    <t>Rockbros</t>
  </si>
  <si>
    <t>https://shopee.ph/ROCKBROS-Hiking-Sneakers-Splash-proof-Breathable-Anti-Slip-Shockproof-Running-Climbing-Oudoor-Sports-Shoes-i.66842532.21378277971?extraParams=%7B%22display_model_id%22%3A118054612568%2C%22model_selection_logic%22%3A3%7D&amp;sp_atk=1256e693-e331-4839-90dc-5085d46dd82b&amp;xptdk=1256e693-e331-4839-90dc-5085d46dd82b</t>
  </si>
  <si>
    <t>Speed Eco Waterproof – Pink Salt Women’s Hiking Shoes</t>
  </si>
  <si>
    <t>https://shopee.ph/Speed-Eco-Waterproof-%E2%80%93-Pink-Salt-Women%E2%80%99s-Hiking-Shoes-i.98394839.49006356029?extraParams=%7B%22display_model_id%22%3A435572675051%2C%22model_selection_logic%22%3A3%7D&amp;sp_atk=d63d7d5d-0fd4-4568-8bc1-87dfef4fbcf0&amp;xptdk=d63d7d5d-0fd4-4568-8bc1-87dfef4fbcf0</t>
  </si>
  <si>
    <t>Accentor 3 Mid Waterproof-Black Womens Hiking Shoes</t>
  </si>
  <si>
    <t>https://shopee.ph/Accentor-3-Mid-Waterproof-Black-Womens-Hiking-Shoes-i.98394839.23004586201?extraParams=%7B%22display_model_id%22%3A156216332533%2C%22model_selection_logic%22%3A3%7D&amp;sp_atk=aad72130-891a-498b-81ab-5501685d60d6&amp;xptdk=aad72130-891a-498b-81ab-5501685d60d6</t>
  </si>
  <si>
    <t>SPayLater rate assumptions</t>
  </si>
  <si>
    <t>Edit the blue cells to match your offered rates. Defaults are typical 2026 SPayLater PH terms.</t>
  </si>
  <si>
    <t>Monthly interest</t>
  </si>
  <si>
    <t>Processing fee</t>
  </si>
  <si>
    <t>Notes</t>
  </si>
  <si>
    <t>Pay in full next month</t>
  </si>
  <si>
    <t>No interest if paid by due date.</t>
  </si>
  <si>
    <t>3 months — 0% promo</t>
  </si>
  <si>
    <t>Promo runs most months on Shopee PH.</t>
  </si>
  <si>
    <t>3 months — standard</t>
  </si>
  <si>
    <t>If you don’t qualify for the 0% promo.</t>
  </si>
  <si>
    <t>6 months</t>
  </si>
  <si>
    <t>Standard SPayLater 6-mo plan.</t>
  </si>
  <si>
    <t>12 months</t>
  </si>
  <si>
    <t>Standard SPayLater 12-mo plan.</t>
  </si>
  <si>
    <t>Sources</t>
  </si>
  <si>
    <t>Shopee Help — How do I calculate my SPayLater installment? · NoypiGeeks SPayLater guide · PHPinoy SPayLater calculator</t>
  </si>
  <si>
    <t>Late-payment fee (not included above): 2.5%–5% of overdue balance.</t>
  </si>
  <si>
    <t>Recommendation weights</t>
  </si>
  <si>
    <t>How terrain and fitness inputs get scored against each shoe’s tags.</t>
  </si>
  <si>
    <t>Terrain selected</t>
  </si>
  <si>
    <t>Tag column on Shoes sheet</t>
  </si>
  <si>
    <t>Light trails / parks</t>
  </si>
  <si>
    <t>Rocky / mountainous</t>
  </si>
  <si>
    <t>Wet / river crossings</t>
  </si>
  <si>
    <t>Fitness selected</t>
  </si>
  <si>
    <t>Beginner / casual</t>
  </si>
  <si>
    <t>Advanced / pro</t>
  </si>
  <si>
    <t>Row</t>
  </si>
  <si>
    <t>Terrain match</t>
  </si>
  <si>
    <t>Fitness match</t>
  </si>
  <si>
    <t>Quality (weighted)</t>
  </si>
  <si>
    <t>Combined score</t>
  </si>
  <si>
    <t>Sort key</t>
  </si>
  <si>
    <t>Price if affordable</t>
  </si>
  <si>
    <t>🛒 View on Shopee</t>
  </si>
  <si>
    <t>Rates are typical SPayLater PH terms (1.49% processing fee, 2.95% monthly interest, 0% on the 3-month promo). Actual rates depend on your credit profile and current Shopee promotions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</si>
</sst>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₱#,##0"/>
    <numFmt numFmtId="165" formatCode="0.0"/>
    <numFmt numFmtId="166" formatCode="\₱#,##0;[Red]&quot;-₱&quot;#,##0;\-"/>
    <numFmt numFmtId="167" formatCode="0.000"/>
    <numFmt numFmtId="168" formatCode="0.00000"/>
  </numFmts>
  <fonts count="18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i/>
      <sz val="11"/>
      <color rgb="FFFFFFFF"/>
      <name val="Calibri"/>
      <charset val="1"/>
    </font>
    <font>
      <b/>
      <sz val="11"/>
      <color rgb="FF1A1A1A"/>
      <name val="Calibri"/>
      <charset val="1"/>
    </font>
    <font>
      <b/>
      <sz val="14"/>
      <color rgb="FF0000FF"/>
      <name val="Calibri"/>
      <charset val="1"/>
    </font>
    <font>
      <i/>
      <sz val="10"/>
      <color rgb="FF6B7280"/>
      <name val="Calibri"/>
      <charset val="1"/>
    </font>
    <font>
      <b/>
      <sz val="10"/>
      <color rgb="FFFFFFFF"/>
      <name val="Calibri"/>
      <charset val="1"/>
    </font>
    <font>
      <b/>
      <sz val="20"/>
      <color rgb="FFEE4D2D"/>
      <name val="Calibri"/>
      <charset val="1"/>
    </font>
    <font>
      <b/>
      <sz val="14"/>
      <color rgb="FFFFFFFF"/>
      <name val="Calibri"/>
      <charset val="1"/>
    </font>
    <font>
      <b/>
      <sz val="11"/>
      <color rgb="FFFFFFFF"/>
      <name val="Calibri"/>
      <charset val="1"/>
    </font>
    <font>
      <sz val="11"/>
      <color rgb="FF1A1A1A"/>
      <name val="Calibri"/>
      <charset val="1"/>
    </font>
    <font>
      <b/>
      <sz val="12"/>
      <color rgb="FF1A1A1A"/>
      <name val="Calibri"/>
      <charset val="1"/>
    </font>
    <font>
      <sz val="10"/>
      <name val="Arial"/>
      <family val="2"/>
    </font>
    <font>
      <sz val="11"/>
      <color theme="1"/>
      <name val="DejaVu Sans"/>
      <family val="2"/>
    </font>
    <font>
      <b/>
      <sz val="16"/>
      <color rgb="FFEE4D2D"/>
      <name val="Calibri"/>
      <charset val="1"/>
    </font>
    <font>
      <b/>
      <sz val="12"/>
      <color rgb="FFEE4D2D"/>
      <name val="Calibri"/>
      <charset val="1"/>
    </font>
    <font>
      <u/>
      <sz val="11"/>
      <color theme="1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EE4D2D"/>
        <bgColor rgb="FFFF8080"/>
      </patternFill>
    </fill>
    <fill>
      <patternFill patternType="solid">
        <fgColor rgb="FFFFF1D6"/>
        <bgColor rgb="FFFCEFE8"/>
      </patternFill>
    </fill>
    <fill>
      <patternFill patternType="solid">
        <fgColor rgb="FFFFF7F2"/>
        <bgColor rgb="FFFCEFE8"/>
      </patternFill>
    </fill>
    <fill>
      <patternFill patternType="solid">
        <fgColor rgb="FF113366"/>
        <bgColor rgb="FF333399"/>
      </patternFill>
    </fill>
    <fill>
      <patternFill patternType="solid">
        <fgColor rgb="FFFCEFE8"/>
        <bgColor rgb="FFFFF1D6"/>
      </patternFill>
    </fill>
  </fills>
  <borders count="3">
    <border>
      <left/>
      <right/>
      <top/>
      <bottom/>
      <diagonal/>
    </border>
    <border>
      <left style="medium">
        <color rgb="FFD0011B"/>
      </left>
      <right style="medium">
        <color rgb="FFD0011B"/>
      </right>
      <top style="medium">
        <color rgb="FFD0011B"/>
      </top>
      <bottom style="medium">
        <color rgb="FFD0011B"/>
      </bottom>
      <diagonal/>
    </border>
    <border>
      <left style="thin">
        <color rgb="FFD5D0BF"/>
      </left>
      <right style="thin">
        <color rgb="FFD5D0BF"/>
      </right>
      <top style="thin">
        <color rgb="FFD5D0BF"/>
      </top>
      <bottom style="thin">
        <color rgb="FFD5D0BF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164" fontId="7" fillId="4" borderId="0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164" fontId="10" fillId="6" borderId="2" xfId="0" applyNumberFormat="1" applyFont="1" applyFill="1" applyBorder="1" applyAlignment="1">
      <alignment horizontal="center" vertical="center" wrapText="1"/>
    </xf>
    <xf numFmtId="165" fontId="10" fillId="6" borderId="2" xfId="0" applyNumberFormat="1" applyFont="1" applyFill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10" fillId="6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7" fontId="0" fillId="0" borderId="0" xfId="0" applyNumberFormat="1"/>
    <xf numFmtId="0" fontId="13" fillId="0" borderId="0" xfId="0" applyFont="1"/>
    <xf numFmtId="0" fontId="14" fillId="0" borderId="0" xfId="0" applyFont="1"/>
    <xf numFmtId="0" fontId="5" fillId="0" borderId="0" xfId="0" applyFont="1"/>
    <xf numFmtId="0" fontId="9" fillId="2" borderId="2" xfId="0" applyFont="1" applyFill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5" fillId="0" borderId="0" xfId="0" applyFont="1"/>
    <xf numFmtId="168" fontId="0" fillId="0" borderId="0" xfId="0" applyNumberFormat="1"/>
    <xf numFmtId="0" fontId="3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17" fillId="0" borderId="2" xfId="1" applyFont="1" applyBorder="1" applyAlignment="1">
      <alignment horizontal="left" vertical="center"/>
    </xf>
    <xf numFmtId="0" fontId="17" fillId="6" borderId="2" xfId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">
    <dxf>
      <font>
        <color rgb="FFD0011B"/>
      </font>
      <fill>
        <patternFill>
          <bgColor rgb="FFFCDD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D0011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5D0BF"/>
      <rgbColor rgb="FF808080"/>
      <rgbColor rgb="FF9999FF"/>
      <rgbColor rgb="FF993366"/>
      <rgbColor rgb="FFFFF1D6"/>
      <rgbColor rgb="FFFFF7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FE8"/>
      <rgbColor rgb="FF99CCFF"/>
      <rgbColor rgb="FFFF99CC"/>
      <rgbColor rgb="FFCC99FF"/>
      <rgbColor rgb="FFFCDDD5"/>
      <rgbColor rgb="FF3366FF"/>
      <rgbColor rgb="FF33CCCC"/>
      <rgbColor rgb="FF99CC00"/>
      <rgbColor rgb="FFFFCC00"/>
      <rgbColor rgb="FFFF9900"/>
      <rgbColor rgb="FFEE4D2D"/>
      <rgbColor rgb="FF6B7280"/>
      <rgbColor rgb="FF969696"/>
      <rgbColor rgb="FF113366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9C0A373-A46F-48F5-B044-1497801D13BA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a5154ef4-7c6d-4222-9c90-e412cb68a7c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ee.ph/HOHEWEG-Men-Sports-Shoes-Summer-Breathable-Hiking-Shoes-Outdoor-Men-Mesh-Non-Slip-Climbing-Sneakers-i.1105626889.55103253482?extraParams=%7B%22display_model_id%22%3A400389128991%2C%22model_selection_logic%22%3A3%7D&amp;sp_atk=b41c4938-8ea5-42d1-94be-d1653c2d9e73&amp;xptdk=b41c4938-8ea5-42d1-94be-d1653c2d9e73" TargetMode="External"/><Relationship Id="rId3" Type="http://schemas.openxmlformats.org/officeDocument/2006/relationships/hyperlink" Target="https://shopee.ph/%E3%80%90COD%E3%80%91Men-Hiking-Shoes-Outdoor-Sports-Non-slip-Breathable-mesh-climbing-cloth-shoes-Trekking-Aqua-shoes-BY201-i.727690310.44058350337?extraParams=%7B%22display_model_id%22%3A300703119709%2C%22model_selection_logic%22%3A3%7D&amp;sp_atk=4dbf58be-0160-4849-858d-09647fece4e6&amp;xptdk=4dbf58be-0160-4849-858d-09647fece4e6" TargetMode="External"/><Relationship Id="rId7" Type="http://schemas.openxmlformats.org/officeDocument/2006/relationships/hyperlink" Target="https://shopee.ph/Men-Hiking-Shoes-Water-resistant-Wear-resistant-Suitable-Sports-Shoes-Outdoor-Anti-slip-Running-Shoe-i.1645290082.48057162173?extraParams=%7B%22display_model_id%22%3A292452117654%2C%22model_selection_logic%22%3A3%7D&amp;sp_atk=37a70d7c-221d-4446-a89c-dc77a98530cb&amp;xptdk=37a70d7c-221d-4446-a89c-dc77a98530cb" TargetMode="External"/><Relationship Id="rId2" Type="http://schemas.openxmlformats.org/officeDocument/2006/relationships/hyperlink" Target="https://shopee.ph/Hiking-shoes-For-Outdoor-Sports-Non-Slip-Breathable-Mesh-Men's-Quick-dry-Rubber-Climbing-Trekking-i.603853882.40701797731?extraParams=%7B%22display_model_id%22%3A306092768796%2C%22model_selection_logic%22%3A3%7D&amp;sp_atk=e5b5ebfb-bd8b-4fef-bbb5-b7f3bedd13de&amp;xptdk=e5b5ebfb-bd8b-4fef-bbb5-b7f3bedd13de" TargetMode="External"/><Relationship Id="rId1" Type="http://schemas.openxmlformats.org/officeDocument/2006/relationships/hyperlink" Target="https://shopee.ph/Men-Hiking-Shoes-Trekking-Breathable-Outdoor-Sneakers-Climbing-Training-Non-slip-Sports-Shoes-Camping-Trail-Jogging-Shoes-i.301918512.43103325262?extraParams=%7B%22display_model_id%22%3A224273396380%2C%22model_selection_logic%22%3A3%7D&amp;sp_atk=177551a5-b9f3-4a6f-905d-91bcc575a944&amp;xptdk=177551a5-b9f3-4a6f-905d-91bcc575a944" TargetMode="External"/><Relationship Id="rId6" Type="http://schemas.openxmlformats.org/officeDocument/2006/relationships/hyperlink" Target="https://shopee.ph/%E3%80%90ROSIE%E3%80%91Unisex-Outdoor-Mountain-Trekking-Climbing-Men-Hiking-Shoe-Non-slip-Breathable-Camping-Running-Sport-Sneakers-BY201-i.813266782.41005427222?extraParams=%7B%22display_model_id%22%3A295520788874%2C%22model_selection_logic%22%3A3%7D&amp;sp_atk=146df0b2-9c56-4f60-aa32-02cc4e079eda&amp;xptdk=146df0b2-9c56-4f60-aa32-02cc4e079eda" TargetMode="External"/><Relationship Id="rId5" Type="http://schemas.openxmlformats.org/officeDocument/2006/relationships/hyperlink" Target="https://shopee.ph/Men-Women-Hiking-Shoe-Outdoor-Sports-Wading-Non-slip-Rubber-Trekking-Quick-drying-Climbing-i.864067560.19148043389?extraParams=%7B%22display_model_id%22%3A178020761179%2C%22model_selection_logic%22%3A3%7D&amp;sp_atk=7887c132-91d9-434d-b187-8ecd7471ba3c&amp;xptdk=7887c132-91d9-434d-b187-8ecd7471ba3c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shopee.ph/HANKINS-Men-Hiking-Shoes-Non-slip-Breathable-Mesh-Climbing-Cloth-Shoes-Trekking-Outdoor-Sports-Shoes-i.863243447.18873240714?extraParams=%7B%22display_model_id%22%3A183848803299%2C%22model_selection_logic%22%3A3%7D&amp;sp_atk=1564b3b6-ff64-4701-a263-b04ec6e32217&amp;xptdk=1564b3b6-ff64-4701-a263-b04ec6e32217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tabSelected="1" zoomScaleNormal="100" workbookViewId="0">
      <selection activeCell="E5" sqref="E5"/>
    </sheetView>
  </sheetViews>
  <sheetFormatPr defaultColWidth="8.7109375" defaultRowHeight="15"/>
  <cols>
    <col min="1" max="1" width="8" customWidth="1"/>
    <col min="2" max="2" width="32" customWidth="1"/>
    <col min="3" max="3" width="13" customWidth="1"/>
    <col min="4" max="4" width="13.140625" customWidth="1"/>
    <col min="5" max="6" width="11" customWidth="1"/>
    <col min="7" max="7" width="14" customWidth="1"/>
    <col min="8" max="9" width="15" customWidth="1"/>
    <col min="10" max="10" width="22" customWidth="1"/>
  </cols>
  <sheetData>
    <row r="1" spans="1:10" ht="49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/>
    <row r="4" spans="1:10" ht="36" customHeight="1">
      <c r="B4" s="14" t="s">
        <v>2</v>
      </c>
      <c r="D4" s="15">
        <v>1000</v>
      </c>
      <c r="F4" s="11" t="s">
        <v>3</v>
      </c>
      <c r="G4" s="11"/>
      <c r="H4" s="11"/>
      <c r="I4" s="11"/>
      <c r="J4" s="11"/>
    </row>
    <row r="5" spans="1:10" ht="36" customHeight="1">
      <c r="B5" s="14" t="s">
        <v>4</v>
      </c>
      <c r="D5" s="16" t="s">
        <v>225</v>
      </c>
    </row>
    <row r="6" spans="1:10" ht="36" customHeight="1">
      <c r="B6" s="14" t="s">
        <v>6</v>
      </c>
      <c r="D6" s="16" t="s">
        <v>7</v>
      </c>
    </row>
    <row r="7" spans="1:10" ht="7.5" customHeight="1"/>
    <row r="8" spans="1:10" ht="18" customHeight="1">
      <c r="B8" s="10" t="s">
        <v>8</v>
      </c>
      <c r="C8" s="10"/>
      <c r="D8" s="10" t="s">
        <v>9</v>
      </c>
      <c r="E8" s="10"/>
      <c r="F8" s="10" t="s">
        <v>10</v>
      </c>
      <c r="G8" s="10"/>
      <c r="H8" s="10" t="s">
        <v>11</v>
      </c>
      <c r="I8" s="10"/>
    </row>
    <row r="9" spans="1:10" ht="37.5" customHeight="1">
      <c r="B9" s="9">
        <f>COUNTIF(Picker!D2:D61,1)</f>
        <v>33</v>
      </c>
      <c r="C9" s="9"/>
      <c r="D9" s="8">
        <f>MAX(Picker!H2:H61)</f>
        <v>47.867219078415602</v>
      </c>
      <c r="E9" s="8"/>
      <c r="F9" s="7">
        <f>IFERROR(MIN(Picker!J2:J61),0)</f>
        <v>69</v>
      </c>
      <c r="G9" s="7"/>
      <c r="H9" s="7">
        <f>IFERROR(MEDIAN(Picker!J2:J61),0)</f>
        <v>291</v>
      </c>
      <c r="I9" s="7"/>
    </row>
    <row r="10" spans="1:10" ht="7.5" customHeight="1"/>
    <row r="11" spans="1:10" ht="25.5" customHeight="1">
      <c r="A11" s="6" t="s">
        <v>12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27.75" customHeight="1">
      <c r="A12" s="17" t="s">
        <v>13</v>
      </c>
      <c r="B12" s="17" t="s">
        <v>14</v>
      </c>
      <c r="C12" s="17" t="s">
        <v>15</v>
      </c>
      <c r="D12" s="17" t="s">
        <v>16</v>
      </c>
      <c r="E12" s="17" t="s">
        <v>17</v>
      </c>
      <c r="F12" s="17" t="s">
        <v>18</v>
      </c>
      <c r="G12" s="17" t="s">
        <v>19</v>
      </c>
      <c r="H12" s="17" t="s">
        <v>20</v>
      </c>
      <c r="I12" s="17" t="s">
        <v>21</v>
      </c>
      <c r="J12" s="17" t="s">
        <v>22</v>
      </c>
    </row>
    <row r="13" spans="1:10" ht="48" customHeight="1">
      <c r="A13" s="18">
        <v>1</v>
      </c>
      <c r="B13" s="19" t="str">
        <f>INDEX(Shoes!$A$2:$A$61,MATCH(LARGE(Picker!$I$2:$I$61,1),Picker!$I$2:$I$61,0))</f>
        <v>Unisex Outdoor Mountain Trekking Climbing Men Hiking Shoe Non-slip Breathable Camping Running Sport Sneakers#BY201</v>
      </c>
      <c r="C13" s="19" t="str">
        <f>INDEX(Shoes!$B$2:$B$61,MATCH(LARGE(Picker!$I$2:$I$61,1),Picker!$I$2:$I$61,0))</f>
        <v>ROSIE</v>
      </c>
      <c r="D13" s="20">
        <f>INDEX(Shoes!$C$2:$C$61,MATCH(LARGE(Picker!$I$2:$I$61,1),Picker!$I$2:$I$61,0))</f>
        <v>89</v>
      </c>
      <c r="E13" s="21">
        <f>INDEX(Shoes!$D$2:$D$61,MATCH(LARGE(Picker!$I$2:$I$61,1),Picker!$I$2:$I$61,0))</f>
        <v>4.8</v>
      </c>
      <c r="F13" s="22">
        <f>INDEX(Shoes!$E$2:$E$61,MATCH(LARGE(Picker!$I$2:$I$61,1),Picker!$I$2:$I$61,0))</f>
        <v>509</v>
      </c>
      <c r="G13" s="21">
        <f>LARGE(Picker!$H$2:$H$61,1)</f>
        <v>47.867219078415602</v>
      </c>
      <c r="H13" s="18" t="str">
        <f>IF(INDEX(Picker!$D$2:$D$61,MATCH(LARGE(Picker!$I$2:$I$61,1),Picker!$I$2:$I$61,0))=1,"✓ Yes","✗ Over budget")</f>
        <v>✓ Yes</v>
      </c>
      <c r="I13" s="18" t="str">
        <f>INDEX(Shoes!$G$2:$G$61,MATCH(LARGE(Picker!$I$2:$I$61,1),Picker!$I$2:$I$61,0))</f>
        <v>Tomorrow</v>
      </c>
      <c r="J13" s="46" t="s">
        <v>237</v>
      </c>
    </row>
    <row r="14" spans="1:10" ht="48" customHeight="1">
      <c r="A14" s="23">
        <v>2</v>
      </c>
      <c r="B14" s="24" t="str">
        <f>INDEX(Shoes!$A$2:$A$61,MATCH(LARGE(Picker!$I$2:$I$61,2),Picker!$I$2:$I$61,0))</f>
        <v>Hiking shoes For Outdoor Sports Non-Slip Breathable Mesh Men's Quick-dry Rubber Climbing Trekking</v>
      </c>
      <c r="C14" s="24" t="str">
        <f>INDEX(Shoes!$B$2:$B$61,MATCH(LARGE(Picker!$I$2:$I$61,2),Picker!$I$2:$I$61,0))</f>
        <v>Unbranded</v>
      </c>
      <c r="D14" s="25">
        <f>INDEX(Shoes!$C$2:$C$61,MATCH(LARGE(Picker!$I$2:$I$61,2),Picker!$I$2:$I$61,0))</f>
        <v>158</v>
      </c>
      <c r="E14" s="26">
        <f>INDEX(Shoes!$D$2:$D$61,MATCH(LARGE(Picker!$I$2:$I$61,2),Picker!$I$2:$I$61,0))</f>
        <v>4.8</v>
      </c>
      <c r="F14" s="27">
        <f>INDEX(Shoes!$E$2:$E$61,MATCH(LARGE(Picker!$I$2:$I$61,2),Picker!$I$2:$I$61,0))</f>
        <v>1345</v>
      </c>
      <c r="G14" s="26">
        <f>LARGE(Picker!$H$2:$H$61,2)</f>
        <v>46.943537298040695</v>
      </c>
      <c r="H14" s="23" t="str">
        <f>IF(INDEX(Picker!$D$2:$D$61,MATCH(LARGE(Picker!$I$2:$I$61,2),Picker!$I$2:$I$61,0))=1,"✓ Yes","✗ Over budget")</f>
        <v>✓ Yes</v>
      </c>
      <c r="I14" s="23" t="str">
        <f>INDEX(Shoes!$G$2:$G$61,MATCH(LARGE(Picker!$I$2:$I$61,2),Picker!$I$2:$I$61,0))</f>
        <v>Tomorrow</v>
      </c>
      <c r="J14" s="47" t="s">
        <v>237</v>
      </c>
    </row>
    <row r="15" spans="1:10" ht="48" customHeight="1">
      <c r="A15" s="18">
        <v>3</v>
      </c>
      <c r="B15" s="19" t="str">
        <f>INDEX(Shoes!$A$2:$A$61,MATCH(LARGE(Picker!$I$2:$I$61,3),Picker!$I$2:$I$61,0))</f>
        <v>Men Hiking Shoes Trekking Breathable Outdoor Sneakers Climbing Training Non-slip Sports Shoes Camping Trail Jogging Shoes</v>
      </c>
      <c r="C15" s="19" t="str">
        <f>INDEX(Shoes!$B$2:$B$61,MATCH(LARGE(Picker!$I$2:$I$61,3),Picker!$I$2:$I$61,0))</f>
        <v>Unbranded</v>
      </c>
      <c r="D15" s="20">
        <f>INDEX(Shoes!$C$2:$C$61,MATCH(LARGE(Picker!$I$2:$I$61,3),Picker!$I$2:$I$61,0))</f>
        <v>858</v>
      </c>
      <c r="E15" s="21">
        <f>INDEX(Shoes!$D$2:$D$61,MATCH(LARGE(Picker!$I$2:$I$61,3),Picker!$I$2:$I$61,0))</f>
        <v>5</v>
      </c>
      <c r="F15" s="22">
        <f>INDEX(Shoes!$E$2:$E$61,MATCH(LARGE(Picker!$I$2:$I$61,3),Picker!$I$2:$I$61,0))</f>
        <v>7</v>
      </c>
      <c r="G15" s="21">
        <f>LARGE(Picker!$H$2:$H$61,3)</f>
        <v>46.655579399141601</v>
      </c>
      <c r="H15" s="18" t="str">
        <f>IF(INDEX(Picker!$D$2:$D$61,MATCH(LARGE(Picker!$I$2:$I$61,3),Picker!$I$2:$I$61,0))=1,"✓ Yes","✗ Over budget")</f>
        <v>✓ Yes</v>
      </c>
      <c r="I15" s="18" t="str">
        <f>INDEX(Shoes!$G$2:$G$61,MATCH(LARGE(Picker!$I$2:$I$61,3),Picker!$I$2:$I$61,0))</f>
        <v>3-7 Days</v>
      </c>
      <c r="J15" s="46" t="s">
        <v>237</v>
      </c>
    </row>
    <row r="16" spans="1:10" ht="48" customHeight="1">
      <c r="A16" s="23">
        <v>4</v>
      </c>
      <c r="B16" s="24" t="str">
        <f>INDEX(Shoes!$A$2:$A$61,MATCH(LARGE(Picker!$I$2:$I$61,4),Picker!$I$2:$I$61,0))</f>
        <v>【COD】Men Hiking Shoes Outdoor Sports Non-slip Breathable mesh climbing cloth shoes Trekking Aqua shoes#BY201</v>
      </c>
      <c r="C16" s="24" t="str">
        <f>INDEX(Shoes!$B$2:$B$61,MATCH(LARGE(Picker!$I$2:$I$61,4),Picker!$I$2:$I$61,0))</f>
        <v>Unbranded</v>
      </c>
      <c r="D16" s="25">
        <f>INDEX(Shoes!$C$2:$C$61,MATCH(LARGE(Picker!$I$2:$I$61,4),Picker!$I$2:$I$61,0))</f>
        <v>259</v>
      </c>
      <c r="E16" s="26">
        <f>INDEX(Shoes!$D$2:$D$61,MATCH(LARGE(Picker!$I$2:$I$61,4),Picker!$I$2:$I$61,0))</f>
        <v>4.7</v>
      </c>
      <c r="F16" s="27">
        <f>INDEX(Shoes!$E$2:$E$61,MATCH(LARGE(Picker!$I$2:$I$61,4),Picker!$I$2:$I$61,0))</f>
        <v>3</v>
      </c>
      <c r="G16" s="26">
        <f>LARGE(Picker!$H$2:$H$61,4)</f>
        <v>46.189999999999991</v>
      </c>
      <c r="H16" s="23" t="str">
        <f>IF(INDEX(Picker!$D$2:$D$61,MATCH(LARGE(Picker!$I$2:$I$61,4),Picker!$I$2:$I$61,0))=1,"✓ Yes","✗ Over budget")</f>
        <v>✓ Yes</v>
      </c>
      <c r="I16" s="23" t="str">
        <f>INDEX(Shoes!$G$2:$G$61,MATCH(LARGE(Picker!$I$2:$I$61,4),Picker!$I$2:$I$61,0))</f>
        <v>Tomorrow</v>
      </c>
      <c r="J16" s="47" t="s">
        <v>237</v>
      </c>
    </row>
    <row r="17" spans="1:10" ht="48" customHeight="1">
      <c r="A17" s="18">
        <v>5</v>
      </c>
      <c r="B17" s="19" t="str">
        <f>INDEX(Shoes!$A$2:$A$61,MATCH(LARGE(Picker!$I$2:$I$61,5),Picker!$I$2:$I$61,0))</f>
        <v>Unisex Outdoor Mountain Trekking Climbing Hiking Shoe Camping Running Sport Sneakers</v>
      </c>
      <c r="C17" s="19" t="str">
        <f>INDEX(Shoes!$B$2:$B$61,MATCH(LARGE(Picker!$I$2:$I$61,5),Picker!$I$2:$I$61,0))</f>
        <v>Unbranded</v>
      </c>
      <c r="D17" s="20">
        <f>INDEX(Shoes!$C$2:$C$61,MATCH(LARGE(Picker!$I$2:$I$61,5),Picker!$I$2:$I$61,0))</f>
        <v>225</v>
      </c>
      <c r="E17" s="21">
        <f>INDEX(Shoes!$D$2:$D$61,MATCH(LARGE(Picker!$I$2:$I$61,5),Picker!$I$2:$I$61,0))</f>
        <v>5</v>
      </c>
      <c r="F17" s="22">
        <f>INDEX(Shoes!$E$2:$E$61,MATCH(LARGE(Picker!$I$2:$I$61,5),Picker!$I$2:$I$61,0))</f>
        <v>24</v>
      </c>
      <c r="G17" s="21">
        <f>LARGE(Picker!$H$2:$H$61,5)</f>
        <v>45.463483146067489</v>
      </c>
      <c r="H17" s="18" t="str">
        <f>IF(INDEX(Picker!$D$2:$D$61,MATCH(LARGE(Picker!$I$2:$I$61,5),Picker!$I$2:$I$61,0))=1,"✓ Yes","✗ Over budget")</f>
        <v>✓ Yes</v>
      </c>
      <c r="I17" s="18" t="str">
        <f>INDEX(Shoes!$G$2:$G$61,MATCH(LARGE(Picker!$I$2:$I$61,5),Picker!$I$2:$I$61,0))</f>
        <v>Tomorrow</v>
      </c>
      <c r="J17" s="46" t="s">
        <v>237</v>
      </c>
    </row>
    <row r="18" spans="1:10" ht="48" customHeight="1">
      <c r="A18" s="23">
        <v>6</v>
      </c>
      <c r="B18" s="24" t="str">
        <f>INDEX(Shoes!$A$2:$A$61,MATCH(LARGE(Picker!$I$2:$I$61,6),Picker!$I$2:$I$61,0))</f>
        <v>Unisex Outdoor Mountain Trekking Climbing Hiking Shoe Camping Running Sport Sneakers</v>
      </c>
      <c r="C18" s="24" t="str">
        <f>INDEX(Shoes!$B$2:$B$61,MATCH(LARGE(Picker!$I$2:$I$61,6),Picker!$I$2:$I$61,0))</f>
        <v>Unbranded</v>
      </c>
      <c r="D18" s="25">
        <f>INDEX(Shoes!$C$2:$C$61,MATCH(LARGE(Picker!$I$2:$I$61,6),Picker!$I$2:$I$61,0))</f>
        <v>199</v>
      </c>
      <c r="E18" s="26">
        <f>INDEX(Shoes!$D$2:$D$61,MATCH(LARGE(Picker!$I$2:$I$61,6),Picker!$I$2:$I$61,0))</f>
        <v>4.8</v>
      </c>
      <c r="F18" s="27">
        <f>INDEX(Shoes!$E$2:$E$61,MATCH(LARGE(Picker!$I$2:$I$61,6),Picker!$I$2:$I$61,0))</f>
        <v>7744</v>
      </c>
      <c r="G18" s="26">
        <f>LARGE(Picker!$H$2:$H$61,6)</f>
        <v>44.989542878971193</v>
      </c>
      <c r="H18" s="23" t="str">
        <f>IF(INDEX(Picker!$D$2:$D$61,MATCH(LARGE(Picker!$I$2:$I$61,6),Picker!$I$2:$I$61,0))=1,"✓ Yes","✗ Over budget")</f>
        <v>✓ Yes</v>
      </c>
      <c r="I18" s="23" t="str">
        <f>INDEX(Shoes!$G$2:$G$61,MATCH(LARGE(Picker!$I$2:$I$61,6),Picker!$I$2:$I$61,0))</f>
        <v>Tomorrow</v>
      </c>
      <c r="J18" s="47" t="s">
        <v>237</v>
      </c>
    </row>
    <row r="19" spans="1:10" ht="48" customHeight="1">
      <c r="A19" s="18">
        <v>7</v>
      </c>
      <c r="B19" s="19" t="str">
        <f>INDEX(Shoes!$A$2:$A$61,MATCH(LARGE(Picker!$I$2:$I$61,7),Picker!$I$2:$I$61,0))</f>
        <v>Men/women Outdoor Mountain Trekking Climbing Hiking Shoes Breathable Camping Running Sport Sneakers</v>
      </c>
      <c r="C19" s="19" t="str">
        <f>INDEX(Shoes!$B$2:$B$61,MATCH(LARGE(Picker!$I$2:$I$61,7),Picker!$I$2:$I$61,0))</f>
        <v>Unbranded</v>
      </c>
      <c r="D19" s="20">
        <f>INDEX(Shoes!$C$2:$C$61,MATCH(LARGE(Picker!$I$2:$I$61,7),Picker!$I$2:$I$61,0))</f>
        <v>252</v>
      </c>
      <c r="E19" s="21">
        <f>INDEX(Shoes!$D$2:$D$61,MATCH(LARGE(Picker!$I$2:$I$61,7),Picker!$I$2:$I$61,0))</f>
        <v>5</v>
      </c>
      <c r="F19" s="22">
        <f>INDEX(Shoes!$E$2:$E$61,MATCH(LARGE(Picker!$I$2:$I$61,7),Picker!$I$2:$I$61,0))</f>
        <v>2</v>
      </c>
      <c r="G19" s="21">
        <f>LARGE(Picker!$H$2:$H$61,7)</f>
        <v>44.3710762331838</v>
      </c>
      <c r="H19" s="18" t="str">
        <f>IF(INDEX(Picker!$D$2:$D$61,MATCH(LARGE(Picker!$I$2:$I$61,7),Picker!$I$2:$I$61,0))=1,"✓ Yes","✗ Over budget")</f>
        <v>✓ Yes</v>
      </c>
      <c r="I19" s="18" t="str">
        <f>INDEX(Shoes!$G$2:$G$61,MATCH(LARGE(Picker!$I$2:$I$61,7),Picker!$I$2:$I$61,0))</f>
        <v>&lt; 2 Days</v>
      </c>
      <c r="J19" s="46" t="s">
        <v>237</v>
      </c>
    </row>
    <row r="20" spans="1:10" ht="48" customHeight="1">
      <c r="A20" s="23">
        <v>8</v>
      </c>
      <c r="B20" s="24" t="str">
        <f>INDEX(Shoes!$A$2:$A$61,MATCH(LARGE(Picker!$I$2:$I$61,8),Picker!$I$2:$I$61,0))</f>
        <v>Men Hiking Shoes Non-slip Breathable Mesh Climbing Cloth Shoes Trekking Outdoor Sports Shoes</v>
      </c>
      <c r="C20" s="24" t="str">
        <f>INDEX(Shoes!$B$2:$B$61,MATCH(LARGE(Picker!$I$2:$I$61,8),Picker!$I$2:$I$61,0))</f>
        <v>Hankins</v>
      </c>
      <c r="D20" s="25">
        <f>INDEX(Shoes!$C$2:$C$61,MATCH(LARGE(Picker!$I$2:$I$61,8),Picker!$I$2:$I$61,0))</f>
        <v>261</v>
      </c>
      <c r="E20" s="26">
        <f>INDEX(Shoes!$D$2:$D$61,MATCH(LARGE(Picker!$I$2:$I$61,8),Picker!$I$2:$I$61,0))</f>
        <v>4.7</v>
      </c>
      <c r="F20" s="27">
        <f>INDEX(Shoes!$E$2:$E$61,MATCH(LARGE(Picker!$I$2:$I$61,8),Picker!$I$2:$I$61,0))</f>
        <v>2753</v>
      </c>
      <c r="G20" s="26">
        <f>LARGE(Picker!$H$2:$H$61,8)</f>
        <v>44.086069868995693</v>
      </c>
      <c r="H20" s="23" t="str">
        <f>IF(INDEX(Picker!$D$2:$D$61,MATCH(LARGE(Picker!$I$2:$I$61,8),Picker!$I$2:$I$61,0))=1,"✓ Yes","✗ Over budget")</f>
        <v>✓ Yes</v>
      </c>
      <c r="I20" s="23" t="str">
        <f>INDEX(Shoes!$G$2:$G$61,MATCH(LARGE(Picker!$I$2:$I$61,8),Picker!$I$2:$I$61,0))</f>
        <v>&lt; 2 Days</v>
      </c>
      <c r="J20" s="47" t="s">
        <v>237</v>
      </c>
    </row>
    <row r="21" spans="1:10" ht="12" customHeight="1"/>
    <row r="22" spans="1:10" ht="25.5" customHeight="1">
      <c r="A22" s="6" t="s">
        <v>23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33.75" customHeight="1">
      <c r="A23" s="5" t="s">
        <v>24</v>
      </c>
      <c r="B23" s="5"/>
      <c r="C23" s="5"/>
      <c r="D23" s="4" t="str">
        <f>B13&amp;"  ·  "&amp;TEXT(D13,"₱#,##0")&amp;"  ·  "&amp;TEXT(E13,"0.0")&amp;"★"</f>
        <v>Unisex Outdoor Mountain Trekking Climbing Men Hiking Shoe Non-slip Breathable Camping Running Sport Sneakers#BY201  ·  ₱89  ·  4.8★</v>
      </c>
      <c r="E23" s="4"/>
      <c r="F23" s="4"/>
      <c r="G23" s="4"/>
      <c r="H23" s="4"/>
      <c r="I23" s="4"/>
    </row>
    <row r="24" spans="1:10" ht="23.25" customHeight="1"/>
    <row r="25" spans="1:10" ht="27.75" customHeight="1">
      <c r="A25" s="3" t="s">
        <v>25</v>
      </c>
      <c r="B25" s="3"/>
      <c r="C25" s="17" t="s">
        <v>26</v>
      </c>
      <c r="D25" s="17" t="s">
        <v>27</v>
      </c>
      <c r="E25" s="17" t="s">
        <v>28</v>
      </c>
      <c r="F25" s="17" t="s">
        <v>29</v>
      </c>
      <c r="G25" s="3" t="s">
        <v>30</v>
      </c>
      <c r="H25" s="3"/>
      <c r="I25" s="3"/>
      <c r="J25" s="3"/>
    </row>
    <row r="26" spans="1:10" ht="31.5" customHeight="1">
      <c r="A26" s="2" t="str">
        <f>Installments!A5</f>
        <v>Pay in full next month</v>
      </c>
      <c r="B26" s="2"/>
      <c r="C26" s="18">
        <f>Installments!B5</f>
        <v>1</v>
      </c>
      <c r="D26" s="20">
        <f>E26/Installments!B5</f>
        <v>90.326099999999997</v>
      </c>
      <c r="E26" s="20">
        <f>$D$13*(1+Installments!D5)*(1+Installments!C5*Installments!B5)</f>
        <v>90.326099999999997</v>
      </c>
      <c r="F26" s="28">
        <f>E26-$D$13</f>
        <v>1.3260999999999967</v>
      </c>
      <c r="G26" s="1" t="str">
        <f>IF(F26=0,"✓ Free money — pay over time at no extra cost.",IF(F26/$D$13&lt;0.05,"○ Small markup. Reasonable if you need to spread the cost.","⚠ Real interest — only worth it if cash is tight."))</f>
        <v>○ Small markup. Reasonable if you need to spread the cost.</v>
      </c>
      <c r="H26" s="1"/>
      <c r="I26" s="1"/>
      <c r="J26" s="1"/>
    </row>
    <row r="27" spans="1:10" ht="31.5" customHeight="1">
      <c r="A27" s="43" t="str">
        <f>Installments!A6</f>
        <v>3 months — 0% promo</v>
      </c>
      <c r="B27" s="43"/>
      <c r="C27" s="23">
        <f>Installments!B6</f>
        <v>3</v>
      </c>
      <c r="D27" s="25">
        <f>E27/Installments!B6</f>
        <v>30.108699999999999</v>
      </c>
      <c r="E27" s="25">
        <f>$D$13*(1+Installments!D6)*(1+Installments!C6*Installments!B6)</f>
        <v>90.326099999999997</v>
      </c>
      <c r="F27" s="29">
        <f>E27-$D$13</f>
        <v>1.3260999999999967</v>
      </c>
      <c r="G27" s="44" t="str">
        <f>IF(F27=0,"✓ Free money — pay over time at no extra cost.",IF(F27/$D$13&lt;0.05,"○ Small markup. Reasonable if you need to spread the cost.","⚠ Real interest — only worth it if cash is tight."))</f>
        <v>○ Small markup. Reasonable if you need to spread the cost.</v>
      </c>
      <c r="H27" s="44"/>
      <c r="I27" s="44"/>
      <c r="J27" s="44"/>
    </row>
    <row r="28" spans="1:10" ht="31.5" customHeight="1">
      <c r="A28" s="2" t="str">
        <f>Installments!A7</f>
        <v>3 months — standard</v>
      </c>
      <c r="B28" s="2"/>
      <c r="C28" s="18">
        <f>Installments!B7</f>
        <v>3</v>
      </c>
      <c r="D28" s="20">
        <f>E28/Installments!B7</f>
        <v>32.773319950000001</v>
      </c>
      <c r="E28" s="20">
        <f>$D$13*(1+Installments!D7)*(1+Installments!C7*Installments!B7)</f>
        <v>98.319959850000004</v>
      </c>
      <c r="F28" s="28">
        <f>E28-$D$13</f>
        <v>9.3199598500000036</v>
      </c>
      <c r="G28" s="1" t="str">
        <f>IF(F28=0,"✓ Free money — pay over time at no extra cost.",IF(F28/$D$13&lt;0.05,"○ Small markup. Reasonable if you need to spread the cost.","⚠ Real interest — only worth it if cash is tight."))</f>
        <v>⚠ Real interest — only worth it if cash is tight.</v>
      </c>
      <c r="H28" s="1"/>
      <c r="I28" s="1"/>
      <c r="J28" s="1"/>
    </row>
    <row r="29" spans="1:10" ht="31.5" customHeight="1">
      <c r="A29" s="43" t="str">
        <f>Installments!A8</f>
        <v>6 months</v>
      </c>
      <c r="B29" s="43"/>
      <c r="C29" s="23">
        <f>Installments!B8</f>
        <v>6</v>
      </c>
      <c r="D29" s="25">
        <f>E29/Installments!B8</f>
        <v>17.718969949999998</v>
      </c>
      <c r="E29" s="25">
        <f>$D$13*(1+Installments!D8)*(1+Installments!C8*Installments!B8)</f>
        <v>106.3138197</v>
      </c>
      <c r="F29" s="29">
        <f>E29-$D$13</f>
        <v>17.313819699999996</v>
      </c>
      <c r="G29" s="44" t="str">
        <f>IF(F29=0,"✓ Free money — pay over time at no extra cost.",IF(F29/$D$13&lt;0.05,"○ Small markup. Reasonable if you need to spread the cost.","⚠ Real interest — only worth it if cash is tight."))</f>
        <v>⚠ Real interest — only worth it if cash is tight.</v>
      </c>
      <c r="H29" s="44"/>
      <c r="I29" s="44"/>
      <c r="J29" s="44"/>
    </row>
    <row r="30" spans="1:10" ht="31.5" customHeight="1">
      <c r="A30" s="2" t="str">
        <f>Installments!A9</f>
        <v>12 months</v>
      </c>
      <c r="B30" s="2"/>
      <c r="C30" s="18">
        <f>Installments!B9</f>
        <v>12</v>
      </c>
      <c r="D30" s="20">
        <f>E30/Installments!B9</f>
        <v>10.19179495</v>
      </c>
      <c r="E30" s="20">
        <f>$D$13*(1+Installments!D9)*(1+Installments!C9*Installments!B9)</f>
        <v>122.30153940000001</v>
      </c>
      <c r="F30" s="28">
        <f>E30-$D$13</f>
        <v>33.30153940000001</v>
      </c>
      <c r="G30" s="1" t="str">
        <f>IF(F30=0,"✓ Free money — pay over time at no extra cost.",IF(F30/$D$13&lt;0.05,"○ Small markup. Reasonable if you need to spread the cost.","⚠ Real interest — only worth it if cash is tight."))</f>
        <v>⚠ Real interest — only worth it if cash is tight.</v>
      </c>
      <c r="H30" s="1"/>
      <c r="I30" s="1"/>
      <c r="J30" s="1"/>
    </row>
    <row r="32" spans="1:10" ht="31.5" customHeight="1">
      <c r="A32" s="45" t="s">
        <v>238</v>
      </c>
      <c r="B32" s="45"/>
      <c r="C32" s="45"/>
      <c r="D32" s="45"/>
      <c r="E32" s="45"/>
      <c r="F32" s="45"/>
      <c r="G32" s="45"/>
      <c r="H32" s="45"/>
      <c r="I32" s="45"/>
      <c r="J32" s="45"/>
    </row>
  </sheetData>
  <mergeCells count="28">
    <mergeCell ref="A29:B29"/>
    <mergeCell ref="G29:J29"/>
    <mergeCell ref="A30:B30"/>
    <mergeCell ref="G30:J30"/>
    <mergeCell ref="A32:J32"/>
    <mergeCell ref="A26:B26"/>
    <mergeCell ref="G26:J26"/>
    <mergeCell ref="A27:B27"/>
    <mergeCell ref="G27:J27"/>
    <mergeCell ref="A28:B28"/>
    <mergeCell ref="G28:J28"/>
    <mergeCell ref="A22:J22"/>
    <mergeCell ref="A23:C23"/>
    <mergeCell ref="D23:I23"/>
    <mergeCell ref="A25:B25"/>
    <mergeCell ref="G25:J25"/>
    <mergeCell ref="B9:C9"/>
    <mergeCell ref="D9:E9"/>
    <mergeCell ref="F9:G9"/>
    <mergeCell ref="H9:I9"/>
    <mergeCell ref="A11:J11"/>
    <mergeCell ref="A1:J1"/>
    <mergeCell ref="A2:J2"/>
    <mergeCell ref="F4:J4"/>
    <mergeCell ref="B8:C8"/>
    <mergeCell ref="D8:E8"/>
    <mergeCell ref="F8:G8"/>
    <mergeCell ref="H8:I8"/>
  </mergeCells>
  <conditionalFormatting sqref="A13:J20">
    <cfRule type="expression" dxfId="0" priority="2">
      <formula>$H13="✗ Over budget"</formula>
    </cfRule>
  </conditionalFormatting>
  <dataValidations count="2">
    <dataValidation type="list" sqref="D5" xr:uid="{00000000-0002-0000-0000-000000000000}">
      <formula1>"Light trails / parks,Mixed hiking trails,Rocky / mountainous,Wet / river crossings"</formula1>
      <formula2>0</formula2>
    </dataValidation>
    <dataValidation type="list" sqref="D6" xr:uid="{00000000-0002-0000-0000-000001000000}">
      <formula1>"Beginner / casual,Regular hiker,Advanced / pro"</formula1>
      <formula2>0</formula2>
    </dataValidation>
  </dataValidations>
  <hyperlinks>
    <hyperlink ref="J13" r:id="rId1" xr:uid="{927CE9C2-25DE-4124-B192-28DE4C0887F2}"/>
    <hyperlink ref="J14" r:id="rId2" xr:uid="{56862B60-39B4-47D5-AA75-E6B28B8B86F6}"/>
    <hyperlink ref="J15" r:id="rId3" xr:uid="{420AF1B5-5030-4A6E-8CA5-2695084493B7}"/>
    <hyperlink ref="J16" r:id="rId4" xr:uid="{88247C7B-7366-40D2-9E47-1E5CBFE756FB}"/>
    <hyperlink ref="J17" r:id="rId5" xr:uid="{99B52040-7F6F-4723-AD29-4CC2C21E043B}"/>
    <hyperlink ref="J18" r:id="rId6" xr:uid="{06139546-25B0-4D1C-859A-E3750AAD429F}"/>
    <hyperlink ref="J19" r:id="rId7" xr:uid="{7D7FE8C9-2DE1-483C-BCFD-EBCED072D4B5}"/>
    <hyperlink ref="J20" r:id="rId8" xr:uid="{7B1ADF1F-FF2C-47A0-87A3-3C9B43F53A72}"/>
  </hyperlinks>
  <pageMargins left="0.3" right="0.3" top="0.3" bottom="0.3" header="0.511811023622047" footer="0.511811023622047"/>
  <pageSetup paperSize="9" fitToHeight="0" orientation="landscape" horizontalDpi="300" verticalDpi="300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1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/>
  <cols>
    <col min="1" max="1" width="60" customWidth="1"/>
    <col min="2" max="2" width="14" customWidth="1"/>
    <col min="3" max="3" width="12" customWidth="1"/>
    <col min="4" max="4" width="8" customWidth="1"/>
    <col min="5" max="5" width="12" customWidth="1"/>
    <col min="6" max="6" width="22" customWidth="1"/>
    <col min="7" max="7" width="12" customWidth="1"/>
    <col min="8" max="8" width="18" customWidth="1"/>
    <col min="9" max="15" width="9" customWidth="1"/>
    <col min="16" max="16" width="12" customWidth="1"/>
  </cols>
  <sheetData>
    <row r="1" spans="1:16" ht="27.75" customHeight="1">
      <c r="A1" s="30" t="s">
        <v>14</v>
      </c>
      <c r="B1" s="30" t="s">
        <v>15</v>
      </c>
      <c r="C1" s="30" t="s">
        <v>31</v>
      </c>
      <c r="D1" s="30" t="s">
        <v>17</v>
      </c>
      <c r="E1" s="30" t="s">
        <v>32</v>
      </c>
      <c r="F1" s="30" t="s">
        <v>33</v>
      </c>
      <c r="G1" s="30" t="s">
        <v>21</v>
      </c>
      <c r="H1" s="30" t="s">
        <v>22</v>
      </c>
      <c r="I1" s="30" t="s">
        <v>34</v>
      </c>
      <c r="J1" s="30" t="s">
        <v>35</v>
      </c>
      <c r="K1" s="30" t="s">
        <v>36</v>
      </c>
      <c r="L1" s="30" t="s">
        <v>37</v>
      </c>
      <c r="M1" s="30" t="s">
        <v>38</v>
      </c>
      <c r="N1" s="30" t="s">
        <v>39</v>
      </c>
      <c r="O1" s="30" t="s">
        <v>40</v>
      </c>
      <c r="P1" s="30" t="s">
        <v>41</v>
      </c>
    </row>
    <row r="2" spans="1:16">
      <c r="A2" t="s">
        <v>42</v>
      </c>
      <c r="B2" t="s">
        <v>43</v>
      </c>
      <c r="C2" s="31">
        <v>69</v>
      </c>
      <c r="D2" s="32">
        <v>4.9000000000000004</v>
      </c>
      <c r="E2" s="33">
        <v>15</v>
      </c>
      <c r="F2" t="s">
        <v>44</v>
      </c>
      <c r="G2" t="s">
        <v>45</v>
      </c>
      <c r="H2" t="s">
        <v>46</v>
      </c>
      <c r="I2">
        <v>1</v>
      </c>
      <c r="J2">
        <v>3</v>
      </c>
      <c r="K2">
        <v>1</v>
      </c>
      <c r="L2">
        <v>0</v>
      </c>
      <c r="M2">
        <v>1</v>
      </c>
      <c r="N2">
        <v>3</v>
      </c>
      <c r="O2">
        <v>1</v>
      </c>
      <c r="P2" s="34">
        <v>4.79006024096386</v>
      </c>
    </row>
    <row r="3" spans="1:16">
      <c r="A3" t="s">
        <v>47</v>
      </c>
      <c r="B3" t="s">
        <v>48</v>
      </c>
      <c r="C3" s="31">
        <v>89</v>
      </c>
      <c r="D3" s="32">
        <v>4.8</v>
      </c>
      <c r="E3" s="33">
        <v>509</v>
      </c>
      <c r="F3" t="s">
        <v>49</v>
      </c>
      <c r="G3" t="s">
        <v>50</v>
      </c>
      <c r="H3" t="s">
        <v>51</v>
      </c>
      <c r="I3">
        <v>3</v>
      </c>
      <c r="J3">
        <v>4</v>
      </c>
      <c r="K3">
        <v>3</v>
      </c>
      <c r="L3">
        <v>0</v>
      </c>
      <c r="M3">
        <v>3</v>
      </c>
      <c r="N3">
        <v>4</v>
      </c>
      <c r="O3">
        <v>2</v>
      </c>
      <c r="P3" s="34">
        <v>4.7955739692805199</v>
      </c>
    </row>
    <row r="4" spans="1:16">
      <c r="A4" t="s">
        <v>52</v>
      </c>
      <c r="B4" t="s">
        <v>53</v>
      </c>
      <c r="C4" s="31">
        <v>140</v>
      </c>
      <c r="D4" s="32">
        <v>4.5999999999999996</v>
      </c>
      <c r="E4" s="33">
        <v>472</v>
      </c>
      <c r="F4" t="s">
        <v>54</v>
      </c>
      <c r="G4" t="s">
        <v>50</v>
      </c>
      <c r="H4" t="s">
        <v>55</v>
      </c>
      <c r="I4">
        <v>1</v>
      </c>
      <c r="J4">
        <v>1</v>
      </c>
      <c r="K4">
        <v>0</v>
      </c>
      <c r="L4">
        <v>0</v>
      </c>
      <c r="M4">
        <v>1</v>
      </c>
      <c r="N4">
        <v>1</v>
      </c>
      <c r="O4">
        <v>0</v>
      </c>
      <c r="P4" s="34">
        <v>4.6329535683577001</v>
      </c>
    </row>
    <row r="5" spans="1:16">
      <c r="A5" t="s">
        <v>56</v>
      </c>
      <c r="B5" t="s">
        <v>43</v>
      </c>
      <c r="C5" s="31">
        <v>158</v>
      </c>
      <c r="D5" s="32">
        <v>4.8</v>
      </c>
      <c r="E5" s="33">
        <v>1345</v>
      </c>
      <c r="F5" t="s">
        <v>57</v>
      </c>
      <c r="G5" t="s">
        <v>50</v>
      </c>
      <c r="H5" t="s">
        <v>58</v>
      </c>
      <c r="I5">
        <v>3</v>
      </c>
      <c r="J5">
        <v>5</v>
      </c>
      <c r="K5">
        <v>2</v>
      </c>
      <c r="L5">
        <v>2</v>
      </c>
      <c r="M5">
        <v>3</v>
      </c>
      <c r="N5">
        <v>5</v>
      </c>
      <c r="O5">
        <v>1</v>
      </c>
      <c r="P5" s="34">
        <v>4.7981179099346898</v>
      </c>
    </row>
    <row r="6" spans="1:16">
      <c r="A6" t="s">
        <v>59</v>
      </c>
      <c r="B6" t="s">
        <v>60</v>
      </c>
      <c r="C6" s="31">
        <v>179</v>
      </c>
      <c r="D6" s="32">
        <v>4</v>
      </c>
      <c r="E6" s="33">
        <v>4</v>
      </c>
      <c r="F6" t="s">
        <v>61</v>
      </c>
      <c r="G6" t="s">
        <v>45</v>
      </c>
      <c r="H6" t="s">
        <v>62</v>
      </c>
      <c r="I6">
        <v>0</v>
      </c>
      <c r="J6">
        <v>2</v>
      </c>
      <c r="K6">
        <v>0</v>
      </c>
      <c r="L6">
        <v>0</v>
      </c>
      <c r="M6">
        <v>0</v>
      </c>
      <c r="N6">
        <v>2</v>
      </c>
      <c r="O6">
        <v>0</v>
      </c>
      <c r="P6" s="34">
        <v>4.7476872246696002</v>
      </c>
    </row>
    <row r="7" spans="1:16">
      <c r="A7" t="s">
        <v>63</v>
      </c>
      <c r="B7" t="s">
        <v>43</v>
      </c>
      <c r="C7" s="31">
        <v>199</v>
      </c>
      <c r="D7" s="32">
        <v>4.8</v>
      </c>
      <c r="E7" s="33">
        <v>7744</v>
      </c>
      <c r="F7" t="s">
        <v>49</v>
      </c>
      <c r="G7" t="s">
        <v>50</v>
      </c>
      <c r="H7" t="s">
        <v>64</v>
      </c>
      <c r="I7">
        <v>2</v>
      </c>
      <c r="J7">
        <v>3</v>
      </c>
      <c r="K7">
        <v>3</v>
      </c>
      <c r="L7">
        <v>0</v>
      </c>
      <c r="M7">
        <v>2</v>
      </c>
      <c r="N7">
        <v>3</v>
      </c>
      <c r="O7">
        <v>2</v>
      </c>
      <c r="P7" s="34">
        <v>4.7996514292990398</v>
      </c>
    </row>
    <row r="8" spans="1:16">
      <c r="A8" t="s">
        <v>65</v>
      </c>
      <c r="B8" t="s">
        <v>66</v>
      </c>
      <c r="C8" s="31">
        <v>211</v>
      </c>
      <c r="D8" s="32">
        <v>4.8</v>
      </c>
      <c r="E8" s="33">
        <v>69</v>
      </c>
      <c r="F8" t="s">
        <v>67</v>
      </c>
      <c r="G8" t="s">
        <v>50</v>
      </c>
      <c r="H8" t="s">
        <v>68</v>
      </c>
      <c r="I8">
        <v>2</v>
      </c>
      <c r="J8">
        <v>2</v>
      </c>
      <c r="K8">
        <v>0</v>
      </c>
      <c r="L8">
        <v>4</v>
      </c>
      <c r="M8">
        <v>2</v>
      </c>
      <c r="N8">
        <v>2</v>
      </c>
      <c r="O8">
        <v>0</v>
      </c>
      <c r="P8" s="34">
        <v>4.7846638655462197</v>
      </c>
    </row>
    <row r="9" spans="1:16">
      <c r="A9" t="s">
        <v>63</v>
      </c>
      <c r="B9" t="s">
        <v>43</v>
      </c>
      <c r="C9" s="31">
        <v>225</v>
      </c>
      <c r="D9" s="32">
        <v>5</v>
      </c>
      <c r="E9" s="33">
        <v>24</v>
      </c>
      <c r="F9" t="s">
        <v>49</v>
      </c>
      <c r="G9" t="s">
        <v>50</v>
      </c>
      <c r="H9" t="s">
        <v>69</v>
      </c>
      <c r="I9">
        <v>2</v>
      </c>
      <c r="J9">
        <v>3</v>
      </c>
      <c r="K9">
        <v>3</v>
      </c>
      <c r="L9">
        <v>0</v>
      </c>
      <c r="M9">
        <v>2</v>
      </c>
      <c r="N9">
        <v>3</v>
      </c>
      <c r="O9">
        <v>2</v>
      </c>
      <c r="P9" s="34">
        <v>4.8154494382022497</v>
      </c>
    </row>
    <row r="10" spans="1:16">
      <c r="A10" t="s">
        <v>70</v>
      </c>
      <c r="B10" t="s">
        <v>43</v>
      </c>
      <c r="C10" s="31">
        <v>235</v>
      </c>
      <c r="D10" s="32">
        <v>4.7</v>
      </c>
      <c r="E10" s="33">
        <v>135</v>
      </c>
      <c r="F10" t="s">
        <v>49</v>
      </c>
      <c r="G10" t="s">
        <v>45</v>
      </c>
      <c r="H10" t="s">
        <v>71</v>
      </c>
      <c r="I10">
        <v>1</v>
      </c>
      <c r="J10">
        <v>3</v>
      </c>
      <c r="K10">
        <v>1</v>
      </c>
      <c r="L10">
        <v>0</v>
      </c>
      <c r="M10">
        <v>1</v>
      </c>
      <c r="N10">
        <v>3</v>
      </c>
      <c r="O10">
        <v>0</v>
      </c>
      <c r="P10" s="34">
        <v>4.7335889570552201</v>
      </c>
    </row>
    <row r="11" spans="1:16">
      <c r="A11" t="s">
        <v>72</v>
      </c>
      <c r="B11" t="s">
        <v>43</v>
      </c>
      <c r="C11" s="31">
        <v>252</v>
      </c>
      <c r="D11" s="32">
        <v>5</v>
      </c>
      <c r="E11" s="33">
        <v>2</v>
      </c>
      <c r="F11" t="s">
        <v>44</v>
      </c>
      <c r="G11" t="s">
        <v>45</v>
      </c>
      <c r="H11" t="s">
        <v>73</v>
      </c>
      <c r="I11">
        <v>3</v>
      </c>
      <c r="J11">
        <v>3</v>
      </c>
      <c r="K11">
        <v>3</v>
      </c>
      <c r="L11">
        <v>0</v>
      </c>
      <c r="M11">
        <v>3</v>
      </c>
      <c r="N11">
        <v>3</v>
      </c>
      <c r="O11">
        <v>2</v>
      </c>
      <c r="P11" s="34">
        <v>4.7790358744394599</v>
      </c>
    </row>
    <row r="12" spans="1:16">
      <c r="A12" s="35" t="s">
        <v>74</v>
      </c>
      <c r="B12" t="s">
        <v>43</v>
      </c>
      <c r="C12" s="31">
        <v>259</v>
      </c>
      <c r="D12" s="32">
        <v>4.7</v>
      </c>
      <c r="E12" s="33">
        <v>3</v>
      </c>
      <c r="F12" t="s">
        <v>67</v>
      </c>
      <c r="G12" t="s">
        <v>50</v>
      </c>
      <c r="H12" t="s">
        <v>75</v>
      </c>
      <c r="I12">
        <v>2</v>
      </c>
      <c r="J12">
        <v>5</v>
      </c>
      <c r="K12">
        <v>2</v>
      </c>
      <c r="L12">
        <v>0</v>
      </c>
      <c r="M12">
        <v>2</v>
      </c>
      <c r="N12">
        <v>5</v>
      </c>
      <c r="O12">
        <v>1</v>
      </c>
      <c r="P12" s="34">
        <v>4.7729999999999997</v>
      </c>
    </row>
    <row r="13" spans="1:16">
      <c r="A13" t="s">
        <v>76</v>
      </c>
      <c r="B13" t="s">
        <v>77</v>
      </c>
      <c r="C13" s="31">
        <v>261</v>
      </c>
      <c r="D13" s="32">
        <v>4.7</v>
      </c>
      <c r="E13" s="33">
        <v>2753</v>
      </c>
      <c r="F13" t="s">
        <v>57</v>
      </c>
      <c r="G13" t="s">
        <v>45</v>
      </c>
      <c r="H13" t="s">
        <v>78</v>
      </c>
      <c r="I13">
        <v>2</v>
      </c>
      <c r="J13">
        <v>5</v>
      </c>
      <c r="K13">
        <v>2</v>
      </c>
      <c r="L13">
        <v>0</v>
      </c>
      <c r="M13">
        <v>2</v>
      </c>
      <c r="N13">
        <v>5</v>
      </c>
      <c r="O13">
        <v>1</v>
      </c>
      <c r="P13" s="34">
        <v>4.7028689956331897</v>
      </c>
    </row>
    <row r="14" spans="1:16">
      <c r="A14" t="s">
        <v>79</v>
      </c>
      <c r="B14" t="s">
        <v>43</v>
      </c>
      <c r="C14" s="31">
        <v>265</v>
      </c>
      <c r="D14" s="32">
        <v>4.7</v>
      </c>
      <c r="E14" s="33">
        <v>20</v>
      </c>
      <c r="F14" t="s">
        <v>49</v>
      </c>
      <c r="G14" t="s">
        <v>45</v>
      </c>
      <c r="H14" t="s">
        <v>80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0</v>
      </c>
      <c r="P14" s="34">
        <v>4.7634169884169903</v>
      </c>
    </row>
    <row r="15" spans="1:16">
      <c r="A15" t="s">
        <v>81</v>
      </c>
      <c r="B15" t="s">
        <v>66</v>
      </c>
      <c r="C15" s="31">
        <v>267</v>
      </c>
      <c r="D15" s="32">
        <v>4.9000000000000004</v>
      </c>
      <c r="E15" s="33">
        <v>81</v>
      </c>
      <c r="F15" t="s">
        <v>67</v>
      </c>
      <c r="G15" t="s">
        <v>50</v>
      </c>
      <c r="H15" t="s">
        <v>82</v>
      </c>
      <c r="I15">
        <v>1</v>
      </c>
      <c r="J15">
        <v>2</v>
      </c>
      <c r="K15">
        <v>2</v>
      </c>
      <c r="L15">
        <v>0</v>
      </c>
      <c r="M15">
        <v>1</v>
      </c>
      <c r="N15">
        <v>2</v>
      </c>
      <c r="O15">
        <v>2</v>
      </c>
      <c r="P15" s="34">
        <v>4.8281496062992098</v>
      </c>
    </row>
    <row r="16" spans="1:16">
      <c r="A16" t="s">
        <v>83</v>
      </c>
      <c r="B16" t="s">
        <v>43</v>
      </c>
      <c r="C16" s="31">
        <v>279</v>
      </c>
      <c r="D16" s="32">
        <v>4.5999999999999996</v>
      </c>
      <c r="E16" s="33">
        <v>394</v>
      </c>
      <c r="F16" t="s">
        <v>49</v>
      </c>
      <c r="G16" t="s">
        <v>45</v>
      </c>
      <c r="H16" t="s">
        <v>84</v>
      </c>
      <c r="I16">
        <v>2</v>
      </c>
      <c r="J16">
        <v>2</v>
      </c>
      <c r="K16">
        <v>2</v>
      </c>
      <c r="L16">
        <v>2</v>
      </c>
      <c r="M16">
        <v>1</v>
      </c>
      <c r="N16">
        <v>2</v>
      </c>
      <c r="O16">
        <v>2</v>
      </c>
      <c r="P16" s="34">
        <v>4.6380585898708997</v>
      </c>
    </row>
    <row r="17" spans="1:16">
      <c r="A17" t="s">
        <v>85</v>
      </c>
      <c r="B17" t="s">
        <v>43</v>
      </c>
      <c r="C17" s="31">
        <v>289</v>
      </c>
      <c r="D17" s="32">
        <v>4.8</v>
      </c>
      <c r="E17" s="33">
        <v>181</v>
      </c>
      <c r="F17" t="s">
        <v>49</v>
      </c>
      <c r="G17" t="s">
        <v>50</v>
      </c>
      <c r="H17" t="s">
        <v>86</v>
      </c>
      <c r="I17">
        <v>0</v>
      </c>
      <c r="J17">
        <v>3</v>
      </c>
      <c r="K17">
        <v>1</v>
      </c>
      <c r="L17">
        <v>2</v>
      </c>
      <c r="M17">
        <v>0</v>
      </c>
      <c r="N17">
        <v>3</v>
      </c>
      <c r="O17">
        <v>0</v>
      </c>
      <c r="P17" s="34">
        <v>4.79057659208262</v>
      </c>
    </row>
    <row r="18" spans="1:16">
      <c r="A18" t="s">
        <v>87</v>
      </c>
      <c r="B18" t="s">
        <v>88</v>
      </c>
      <c r="C18" s="31">
        <v>291</v>
      </c>
      <c r="D18" s="32">
        <v>4.7</v>
      </c>
      <c r="E18" s="33">
        <v>14</v>
      </c>
      <c r="F18" t="s">
        <v>67</v>
      </c>
      <c r="G18" t="s">
        <v>45</v>
      </c>
      <c r="H18" t="s">
        <v>89</v>
      </c>
      <c r="I18">
        <v>3</v>
      </c>
      <c r="J18">
        <v>4</v>
      </c>
      <c r="K18">
        <v>1</v>
      </c>
      <c r="L18">
        <v>0</v>
      </c>
      <c r="M18">
        <v>3</v>
      </c>
      <c r="N18">
        <v>4</v>
      </c>
      <c r="O18">
        <v>1</v>
      </c>
      <c r="P18" s="34">
        <v>4.7664979757085</v>
      </c>
    </row>
    <row r="19" spans="1:16">
      <c r="A19" t="s">
        <v>90</v>
      </c>
      <c r="B19" t="s">
        <v>43</v>
      </c>
      <c r="C19" s="31">
        <v>293</v>
      </c>
      <c r="D19" s="32">
        <v>4.9000000000000004</v>
      </c>
      <c r="E19" s="33">
        <v>1234</v>
      </c>
      <c r="F19" t="s">
        <v>57</v>
      </c>
      <c r="G19" t="s">
        <v>50</v>
      </c>
      <c r="H19" t="s">
        <v>91</v>
      </c>
      <c r="I19">
        <v>2</v>
      </c>
      <c r="J19">
        <v>3</v>
      </c>
      <c r="K19">
        <v>0</v>
      </c>
      <c r="L19">
        <v>4</v>
      </c>
      <c r="M19">
        <v>2</v>
      </c>
      <c r="N19">
        <v>3</v>
      </c>
      <c r="O19">
        <v>0</v>
      </c>
      <c r="P19" s="34">
        <v>4.8898120580573101</v>
      </c>
    </row>
    <row r="20" spans="1:16">
      <c r="A20" t="s">
        <v>92</v>
      </c>
      <c r="B20" t="s">
        <v>93</v>
      </c>
      <c r="C20" s="31">
        <v>296</v>
      </c>
      <c r="D20" s="32">
        <v>4.7</v>
      </c>
      <c r="E20" s="33">
        <v>35</v>
      </c>
      <c r="F20" t="s">
        <v>67</v>
      </c>
      <c r="G20" t="s">
        <v>45</v>
      </c>
      <c r="H20" t="s">
        <v>94</v>
      </c>
      <c r="I20">
        <v>1</v>
      </c>
      <c r="J20">
        <v>4</v>
      </c>
      <c r="K20">
        <v>1</v>
      </c>
      <c r="L20">
        <v>0</v>
      </c>
      <c r="M20">
        <v>1</v>
      </c>
      <c r="N20">
        <v>4</v>
      </c>
      <c r="O20">
        <v>0</v>
      </c>
      <c r="P20" s="34">
        <v>4.7568339100346</v>
      </c>
    </row>
    <row r="21" spans="1:16">
      <c r="A21" t="s">
        <v>95</v>
      </c>
      <c r="B21" t="s">
        <v>43</v>
      </c>
      <c r="C21" s="31">
        <v>302</v>
      </c>
      <c r="D21" s="32">
        <v>4.5999999999999996</v>
      </c>
      <c r="E21" s="33">
        <v>292</v>
      </c>
      <c r="F21" t="s">
        <v>57</v>
      </c>
      <c r="G21" t="s">
        <v>45</v>
      </c>
      <c r="H21" t="s">
        <v>96</v>
      </c>
      <c r="I21">
        <v>1</v>
      </c>
      <c r="J21">
        <v>5</v>
      </c>
      <c r="K21">
        <v>2</v>
      </c>
      <c r="L21">
        <v>3</v>
      </c>
      <c r="M21">
        <v>1</v>
      </c>
      <c r="N21">
        <v>5</v>
      </c>
      <c r="O21">
        <v>1</v>
      </c>
      <c r="P21" s="34">
        <v>4.6477272727272698</v>
      </c>
    </row>
    <row r="22" spans="1:16">
      <c r="A22" t="s">
        <v>97</v>
      </c>
      <c r="B22" t="s">
        <v>43</v>
      </c>
      <c r="C22" s="31">
        <v>309</v>
      </c>
      <c r="D22" s="32">
        <v>4.3</v>
      </c>
      <c r="E22" s="33">
        <v>4</v>
      </c>
      <c r="F22" t="s">
        <v>44</v>
      </c>
      <c r="G22" t="s">
        <v>50</v>
      </c>
      <c r="H22" t="s">
        <v>98</v>
      </c>
      <c r="I22">
        <v>1</v>
      </c>
      <c r="J22">
        <v>2</v>
      </c>
      <c r="K22">
        <v>1</v>
      </c>
      <c r="L22">
        <v>0</v>
      </c>
      <c r="M22">
        <v>1</v>
      </c>
      <c r="N22">
        <v>2</v>
      </c>
      <c r="O22">
        <v>1</v>
      </c>
      <c r="P22" s="34">
        <v>4.7582599118942701</v>
      </c>
    </row>
    <row r="23" spans="1:16">
      <c r="A23" t="s">
        <v>99</v>
      </c>
      <c r="B23" t="s">
        <v>43</v>
      </c>
      <c r="C23" s="31">
        <v>360</v>
      </c>
      <c r="D23" s="32">
        <v>4.8</v>
      </c>
      <c r="E23" s="33">
        <v>266</v>
      </c>
      <c r="F23" t="s">
        <v>57</v>
      </c>
      <c r="G23" t="s">
        <v>50</v>
      </c>
      <c r="H23" t="s">
        <v>100</v>
      </c>
      <c r="I23">
        <v>1</v>
      </c>
      <c r="J23">
        <v>4</v>
      </c>
      <c r="K23">
        <v>1</v>
      </c>
      <c r="L23">
        <v>2</v>
      </c>
      <c r="M23">
        <v>1</v>
      </c>
      <c r="N23">
        <v>4</v>
      </c>
      <c r="O23">
        <v>1</v>
      </c>
      <c r="P23" s="34">
        <v>4.7927097203728399</v>
      </c>
    </row>
    <row r="24" spans="1:16">
      <c r="A24" t="s">
        <v>101</v>
      </c>
      <c r="B24" t="s">
        <v>43</v>
      </c>
      <c r="C24" s="31">
        <v>373</v>
      </c>
      <c r="D24" s="32">
        <v>4.5</v>
      </c>
      <c r="E24" s="33">
        <v>83</v>
      </c>
      <c r="F24" t="s">
        <v>67</v>
      </c>
      <c r="G24" t="s">
        <v>50</v>
      </c>
      <c r="H24" t="s">
        <v>102</v>
      </c>
      <c r="I24">
        <v>1</v>
      </c>
      <c r="J24">
        <v>2</v>
      </c>
      <c r="K24">
        <v>1</v>
      </c>
      <c r="L24">
        <v>0</v>
      </c>
      <c r="M24">
        <v>1</v>
      </c>
      <c r="N24">
        <v>2</v>
      </c>
      <c r="O24">
        <v>1</v>
      </c>
      <c r="P24" s="34">
        <v>4.6564285714285703</v>
      </c>
    </row>
    <row r="25" spans="1:16">
      <c r="A25" t="s">
        <v>103</v>
      </c>
      <c r="B25" t="s">
        <v>104</v>
      </c>
      <c r="C25" s="31">
        <v>400</v>
      </c>
      <c r="D25" s="32">
        <v>4.8</v>
      </c>
      <c r="E25" s="33">
        <v>1460</v>
      </c>
      <c r="F25" t="s">
        <v>105</v>
      </c>
      <c r="G25" t="s">
        <v>45</v>
      </c>
      <c r="H25" t="s">
        <v>106</v>
      </c>
      <c r="I25">
        <v>1</v>
      </c>
      <c r="J25">
        <v>2</v>
      </c>
      <c r="K25">
        <v>0</v>
      </c>
      <c r="L25">
        <v>1</v>
      </c>
      <c r="M25">
        <v>1</v>
      </c>
      <c r="N25">
        <v>2</v>
      </c>
      <c r="O25">
        <v>0</v>
      </c>
      <c r="P25" s="34">
        <v>4.7982558139534897</v>
      </c>
    </row>
    <row r="26" spans="1:16">
      <c r="A26" t="s">
        <v>107</v>
      </c>
      <c r="B26" t="s">
        <v>108</v>
      </c>
      <c r="C26" s="31">
        <v>420</v>
      </c>
      <c r="D26" s="32">
        <v>4.8</v>
      </c>
      <c r="E26" s="33">
        <v>3997</v>
      </c>
      <c r="F26" t="s">
        <v>109</v>
      </c>
      <c r="G26" t="s">
        <v>50</v>
      </c>
      <c r="H26" t="s">
        <v>110</v>
      </c>
      <c r="I26">
        <v>0</v>
      </c>
      <c r="J26">
        <v>3</v>
      </c>
      <c r="K26">
        <v>1</v>
      </c>
      <c r="L26">
        <v>0</v>
      </c>
      <c r="M26">
        <v>0</v>
      </c>
      <c r="N26">
        <v>3</v>
      </c>
      <c r="O26">
        <v>0</v>
      </c>
      <c r="P26" s="34">
        <v>4.7993333739194002</v>
      </c>
    </row>
    <row r="27" spans="1:16">
      <c r="A27" t="s">
        <v>111</v>
      </c>
      <c r="B27" t="s">
        <v>43</v>
      </c>
      <c r="C27" s="31">
        <v>439</v>
      </c>
      <c r="D27" s="32">
        <v>4.8</v>
      </c>
      <c r="E27" s="33">
        <v>308</v>
      </c>
      <c r="F27" t="s">
        <v>112</v>
      </c>
      <c r="G27" t="s">
        <v>50</v>
      </c>
      <c r="H27" t="s">
        <v>113</v>
      </c>
      <c r="I27">
        <v>0</v>
      </c>
      <c r="J27">
        <v>2</v>
      </c>
      <c r="K27">
        <v>2</v>
      </c>
      <c r="L27">
        <v>2</v>
      </c>
      <c r="M27">
        <v>0</v>
      </c>
      <c r="N27">
        <v>2</v>
      </c>
      <c r="O27">
        <v>2</v>
      </c>
      <c r="P27" s="34">
        <v>4.7934431137724598</v>
      </c>
    </row>
    <row r="28" spans="1:16">
      <c r="A28" t="s">
        <v>114</v>
      </c>
      <c r="B28" t="s">
        <v>43</v>
      </c>
      <c r="C28" s="31">
        <v>589</v>
      </c>
      <c r="D28" s="32">
        <v>4.4000000000000004</v>
      </c>
      <c r="E28" s="33">
        <v>10</v>
      </c>
      <c r="F28" t="s">
        <v>115</v>
      </c>
      <c r="G28" t="s">
        <v>50</v>
      </c>
      <c r="H28" t="s">
        <v>116</v>
      </c>
      <c r="I28">
        <v>3</v>
      </c>
      <c r="J28">
        <v>2</v>
      </c>
      <c r="K28">
        <v>0</v>
      </c>
      <c r="L28">
        <v>1</v>
      </c>
      <c r="M28">
        <v>3</v>
      </c>
      <c r="N28">
        <v>2</v>
      </c>
      <c r="O28">
        <v>0</v>
      </c>
      <c r="P28" s="34">
        <v>4.74361924686192</v>
      </c>
    </row>
    <row r="29" spans="1:16">
      <c r="A29" t="s">
        <v>117</v>
      </c>
      <c r="B29" t="s">
        <v>43</v>
      </c>
      <c r="C29" s="31">
        <v>589</v>
      </c>
      <c r="D29" s="32">
        <v>3</v>
      </c>
      <c r="E29" s="33">
        <v>1</v>
      </c>
      <c r="F29" t="s">
        <v>118</v>
      </c>
      <c r="G29" t="s">
        <v>119</v>
      </c>
      <c r="H29" t="s">
        <v>120</v>
      </c>
      <c r="I29">
        <v>0</v>
      </c>
      <c r="J29">
        <v>3</v>
      </c>
      <c r="K29">
        <v>1</v>
      </c>
      <c r="L29">
        <v>2</v>
      </c>
      <c r="M29">
        <v>0</v>
      </c>
      <c r="N29">
        <v>3</v>
      </c>
      <c r="O29">
        <v>0</v>
      </c>
      <c r="P29" s="34">
        <v>4.7589366515837099</v>
      </c>
    </row>
    <row r="30" spans="1:16">
      <c r="A30" t="s">
        <v>121</v>
      </c>
      <c r="B30" t="s">
        <v>43</v>
      </c>
      <c r="C30" s="31">
        <v>659</v>
      </c>
      <c r="D30" s="32">
        <v>5</v>
      </c>
      <c r="E30" s="33">
        <v>2</v>
      </c>
      <c r="F30" t="s">
        <v>49</v>
      </c>
      <c r="G30" t="s">
        <v>50</v>
      </c>
      <c r="H30" t="s">
        <v>122</v>
      </c>
      <c r="I30">
        <v>1</v>
      </c>
      <c r="J30">
        <v>2</v>
      </c>
      <c r="K30">
        <v>2</v>
      </c>
      <c r="L30">
        <v>2</v>
      </c>
      <c r="M30">
        <v>1</v>
      </c>
      <c r="N30">
        <v>2</v>
      </c>
      <c r="O30">
        <v>2</v>
      </c>
      <c r="P30" s="34">
        <v>4.7790358744394599</v>
      </c>
    </row>
    <row r="31" spans="1:16">
      <c r="A31" t="s">
        <v>123</v>
      </c>
      <c r="B31" t="s">
        <v>124</v>
      </c>
      <c r="C31" s="31">
        <v>759</v>
      </c>
      <c r="D31" s="32">
        <v>4.8</v>
      </c>
      <c r="E31" s="33">
        <v>16</v>
      </c>
      <c r="F31" t="s">
        <v>54</v>
      </c>
      <c r="G31" t="s">
        <v>45</v>
      </c>
      <c r="H31" t="s">
        <v>125</v>
      </c>
      <c r="I31">
        <v>2</v>
      </c>
      <c r="J31">
        <v>3</v>
      </c>
      <c r="K31">
        <v>0</v>
      </c>
      <c r="L31">
        <v>0</v>
      </c>
      <c r="M31">
        <v>2</v>
      </c>
      <c r="N31">
        <v>3</v>
      </c>
      <c r="O31">
        <v>0</v>
      </c>
      <c r="P31" s="34">
        <v>4.7781872509960204</v>
      </c>
    </row>
    <row r="32" spans="1:16">
      <c r="A32" t="s">
        <v>126</v>
      </c>
      <c r="B32" t="s">
        <v>43</v>
      </c>
      <c r="C32" s="31">
        <v>858</v>
      </c>
      <c r="D32" s="32">
        <v>5</v>
      </c>
      <c r="E32" s="33">
        <v>7</v>
      </c>
      <c r="F32" t="s">
        <v>127</v>
      </c>
      <c r="G32" t="s">
        <v>128</v>
      </c>
      <c r="H32" t="s">
        <v>129</v>
      </c>
      <c r="I32">
        <v>2</v>
      </c>
      <c r="J32">
        <v>6</v>
      </c>
      <c r="K32">
        <v>2</v>
      </c>
      <c r="L32">
        <v>0</v>
      </c>
      <c r="M32">
        <v>2</v>
      </c>
      <c r="N32">
        <v>5</v>
      </c>
      <c r="O32">
        <v>1</v>
      </c>
      <c r="P32" s="34">
        <v>4.7885193133047199</v>
      </c>
    </row>
    <row r="33" spans="1:16">
      <c r="A33" t="s">
        <v>130</v>
      </c>
      <c r="B33" t="s">
        <v>124</v>
      </c>
      <c r="C33" s="31">
        <v>899</v>
      </c>
      <c r="D33" s="32">
        <v>4.8</v>
      </c>
      <c r="E33" s="33">
        <v>37</v>
      </c>
      <c r="F33" t="s">
        <v>127</v>
      </c>
      <c r="G33" t="s">
        <v>131</v>
      </c>
      <c r="H33" t="s">
        <v>132</v>
      </c>
      <c r="I33">
        <v>2</v>
      </c>
      <c r="J33">
        <v>2</v>
      </c>
      <c r="K33">
        <v>1</v>
      </c>
      <c r="L33">
        <v>0</v>
      </c>
      <c r="M33">
        <v>2</v>
      </c>
      <c r="N33">
        <v>2</v>
      </c>
      <c r="O33">
        <v>1</v>
      </c>
      <c r="P33" s="34">
        <v>4.7813139931740603</v>
      </c>
    </row>
    <row r="34" spans="1:16">
      <c r="A34" t="s">
        <v>133</v>
      </c>
      <c r="B34" t="s">
        <v>134</v>
      </c>
      <c r="C34" s="31">
        <v>980</v>
      </c>
      <c r="D34" s="32">
        <v>5</v>
      </c>
      <c r="E34" s="33">
        <v>34</v>
      </c>
      <c r="F34" t="s">
        <v>118</v>
      </c>
      <c r="G34" t="s">
        <v>50</v>
      </c>
      <c r="H34" t="s">
        <v>135</v>
      </c>
      <c r="I34">
        <v>0</v>
      </c>
      <c r="J34">
        <v>2</v>
      </c>
      <c r="K34">
        <v>0</v>
      </c>
      <c r="L34">
        <v>2</v>
      </c>
      <c r="M34">
        <v>0</v>
      </c>
      <c r="N34">
        <v>2</v>
      </c>
      <c r="O34">
        <v>0</v>
      </c>
      <c r="P34" s="34">
        <v>4.8283101045296197</v>
      </c>
    </row>
    <row r="35" spans="1:16">
      <c r="A35" t="s">
        <v>136</v>
      </c>
      <c r="B35" t="s">
        <v>137</v>
      </c>
      <c r="C35" s="31">
        <v>1113</v>
      </c>
      <c r="D35" s="32">
        <v>4.9000000000000004</v>
      </c>
      <c r="E35" s="33">
        <v>311</v>
      </c>
      <c r="F35" t="s">
        <v>138</v>
      </c>
      <c r="G35" t="s">
        <v>45</v>
      </c>
      <c r="H35" t="s">
        <v>139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0</v>
      </c>
      <c r="P35" s="34">
        <v>4.8674494649227098</v>
      </c>
    </row>
    <row r="36" spans="1:16">
      <c r="A36" t="s">
        <v>140</v>
      </c>
      <c r="B36" t="s">
        <v>141</v>
      </c>
      <c r="C36" s="31">
        <v>1676</v>
      </c>
      <c r="D36" s="32">
        <v>5</v>
      </c>
      <c r="E36" s="33">
        <v>66</v>
      </c>
      <c r="F36" t="s">
        <v>67</v>
      </c>
      <c r="G36" t="s">
        <v>50</v>
      </c>
      <c r="H36" t="s">
        <v>142</v>
      </c>
      <c r="I36">
        <v>1</v>
      </c>
      <c r="J36">
        <v>4</v>
      </c>
      <c r="K36">
        <v>0</v>
      </c>
      <c r="L36">
        <v>0</v>
      </c>
      <c r="M36">
        <v>1</v>
      </c>
      <c r="N36">
        <v>4</v>
      </c>
      <c r="O36">
        <v>0</v>
      </c>
      <c r="P36" s="34">
        <v>4.85961538461539</v>
      </c>
    </row>
    <row r="37" spans="1:16">
      <c r="A37" t="s">
        <v>143</v>
      </c>
      <c r="B37" t="s">
        <v>144</v>
      </c>
      <c r="C37" s="31">
        <v>1800</v>
      </c>
      <c r="D37" s="32">
        <v>5</v>
      </c>
      <c r="E37" s="33">
        <v>15</v>
      </c>
      <c r="F37" t="s">
        <v>127</v>
      </c>
      <c r="G37" t="s">
        <v>145</v>
      </c>
      <c r="H37" t="s">
        <v>146</v>
      </c>
      <c r="I37">
        <v>1</v>
      </c>
      <c r="J37">
        <v>4</v>
      </c>
      <c r="K37">
        <v>0</v>
      </c>
      <c r="L37">
        <v>0</v>
      </c>
      <c r="M37">
        <v>1</v>
      </c>
      <c r="N37">
        <v>4</v>
      </c>
      <c r="O37">
        <v>0</v>
      </c>
      <c r="P37" s="34">
        <v>4.80210843373494</v>
      </c>
    </row>
    <row r="38" spans="1:16">
      <c r="A38" t="s">
        <v>147</v>
      </c>
      <c r="B38" t="s">
        <v>43</v>
      </c>
      <c r="C38" s="31">
        <v>1800</v>
      </c>
      <c r="D38" s="32">
        <v>5</v>
      </c>
      <c r="E38" s="33">
        <v>68</v>
      </c>
      <c r="F38" t="s">
        <v>148</v>
      </c>
      <c r="G38" t="s">
        <v>50</v>
      </c>
      <c r="H38" t="s">
        <v>149</v>
      </c>
      <c r="I38">
        <v>0</v>
      </c>
      <c r="J38">
        <v>1</v>
      </c>
      <c r="K38">
        <v>0</v>
      </c>
      <c r="L38">
        <v>0</v>
      </c>
      <c r="M38">
        <v>0</v>
      </c>
      <c r="N38">
        <v>1</v>
      </c>
      <c r="O38">
        <v>0</v>
      </c>
      <c r="P38" s="34">
        <v>4.8611971830985903</v>
      </c>
    </row>
    <row r="39" spans="1:16">
      <c r="A39" t="s">
        <v>150</v>
      </c>
      <c r="B39" t="s">
        <v>144</v>
      </c>
      <c r="C39" s="31">
        <v>1800</v>
      </c>
      <c r="D39" s="32">
        <v>4.9000000000000004</v>
      </c>
      <c r="E39" s="33">
        <v>155</v>
      </c>
      <c r="F39" t="s">
        <v>127</v>
      </c>
      <c r="G39" t="s">
        <v>151</v>
      </c>
      <c r="H39" t="s">
        <v>152</v>
      </c>
      <c r="I39">
        <v>1</v>
      </c>
      <c r="J39">
        <v>4</v>
      </c>
      <c r="K39">
        <v>0</v>
      </c>
      <c r="L39">
        <v>0</v>
      </c>
      <c r="M39">
        <v>1</v>
      </c>
      <c r="N39">
        <v>4</v>
      </c>
      <c r="O39">
        <v>0</v>
      </c>
      <c r="P39" s="34">
        <v>4.8482514177693803</v>
      </c>
    </row>
    <row r="40" spans="1:16">
      <c r="A40" t="s">
        <v>153</v>
      </c>
      <c r="B40" t="s">
        <v>144</v>
      </c>
      <c r="C40" s="31">
        <v>1872</v>
      </c>
      <c r="D40" s="32">
        <v>4.9000000000000004</v>
      </c>
      <c r="E40" s="33">
        <v>5529</v>
      </c>
      <c r="F40" t="s">
        <v>127</v>
      </c>
      <c r="G40" t="s">
        <v>151</v>
      </c>
      <c r="H40" t="s">
        <v>154</v>
      </c>
      <c r="I40">
        <v>1</v>
      </c>
      <c r="J40">
        <v>3</v>
      </c>
      <c r="K40">
        <v>1</v>
      </c>
      <c r="L40">
        <v>0</v>
      </c>
      <c r="M40">
        <v>1</v>
      </c>
      <c r="N40">
        <v>3</v>
      </c>
      <c r="O40">
        <v>1</v>
      </c>
      <c r="P40" s="34">
        <v>4.8975724926842199</v>
      </c>
    </row>
    <row r="41" spans="1:16">
      <c r="A41" t="s">
        <v>155</v>
      </c>
      <c r="B41" t="s">
        <v>141</v>
      </c>
      <c r="C41" s="31">
        <v>1872</v>
      </c>
      <c r="D41" s="32">
        <v>4.9000000000000004</v>
      </c>
      <c r="E41" s="33">
        <v>536</v>
      </c>
      <c r="F41" t="s">
        <v>127</v>
      </c>
      <c r="G41" t="s">
        <v>145</v>
      </c>
      <c r="H41" t="s">
        <v>156</v>
      </c>
      <c r="I41">
        <v>0</v>
      </c>
      <c r="J41">
        <v>4</v>
      </c>
      <c r="K41">
        <v>1</v>
      </c>
      <c r="L41">
        <v>0</v>
      </c>
      <c r="M41">
        <v>0</v>
      </c>
      <c r="N41">
        <v>4</v>
      </c>
      <c r="O41">
        <v>1</v>
      </c>
      <c r="P41" s="34">
        <v>4.8787955073586398</v>
      </c>
    </row>
    <row r="42" spans="1:16">
      <c r="A42" t="s">
        <v>157</v>
      </c>
      <c r="B42" t="s">
        <v>141</v>
      </c>
      <c r="C42" s="31">
        <v>1872</v>
      </c>
      <c r="D42" s="32">
        <v>4.9000000000000004</v>
      </c>
      <c r="E42" s="33">
        <v>62</v>
      </c>
      <c r="F42" t="s">
        <v>127</v>
      </c>
      <c r="G42" t="s">
        <v>145</v>
      </c>
      <c r="H42" t="s">
        <v>158</v>
      </c>
      <c r="I42">
        <v>1</v>
      </c>
      <c r="J42">
        <v>2</v>
      </c>
      <c r="K42">
        <v>0</v>
      </c>
      <c r="L42">
        <v>0</v>
      </c>
      <c r="M42">
        <v>1</v>
      </c>
      <c r="N42">
        <v>2</v>
      </c>
      <c r="O42">
        <v>0</v>
      </c>
      <c r="P42" s="34">
        <v>4.8201895043731797</v>
      </c>
    </row>
    <row r="43" spans="1:16">
      <c r="A43" t="s">
        <v>159</v>
      </c>
      <c r="B43" t="s">
        <v>141</v>
      </c>
      <c r="C43" s="31">
        <v>1900</v>
      </c>
      <c r="D43" s="32">
        <v>4.9000000000000004</v>
      </c>
      <c r="E43" s="33">
        <v>200</v>
      </c>
      <c r="F43" t="s">
        <v>127</v>
      </c>
      <c r="G43" t="s">
        <v>145</v>
      </c>
      <c r="H43" t="s">
        <v>160</v>
      </c>
      <c r="I43">
        <v>0</v>
      </c>
      <c r="J43">
        <v>4</v>
      </c>
      <c r="K43">
        <v>0</v>
      </c>
      <c r="L43">
        <v>2</v>
      </c>
      <c r="M43">
        <v>0</v>
      </c>
      <c r="N43">
        <v>4</v>
      </c>
      <c r="O43">
        <v>0</v>
      </c>
      <c r="P43" s="34">
        <v>4.8557754442649399</v>
      </c>
    </row>
    <row r="44" spans="1:16">
      <c r="A44" t="s">
        <v>161</v>
      </c>
      <c r="B44" t="s">
        <v>141</v>
      </c>
      <c r="C44" s="31">
        <v>1900</v>
      </c>
      <c r="D44" s="32">
        <v>4.9000000000000004</v>
      </c>
      <c r="E44" s="33">
        <v>176</v>
      </c>
      <c r="F44" t="s">
        <v>127</v>
      </c>
      <c r="G44" t="s">
        <v>145</v>
      </c>
      <c r="H44" t="s">
        <v>162</v>
      </c>
      <c r="I44">
        <v>0</v>
      </c>
      <c r="J44">
        <v>3</v>
      </c>
      <c r="K44">
        <v>1</v>
      </c>
      <c r="L44">
        <v>0</v>
      </c>
      <c r="M44">
        <v>0</v>
      </c>
      <c r="N44">
        <v>3</v>
      </c>
      <c r="O44">
        <v>1</v>
      </c>
      <c r="P44" s="34">
        <v>4.8520577933450104</v>
      </c>
    </row>
    <row r="45" spans="1:16">
      <c r="A45" t="s">
        <v>163</v>
      </c>
      <c r="B45" t="s">
        <v>144</v>
      </c>
      <c r="C45" s="31">
        <v>1970</v>
      </c>
      <c r="D45" s="32">
        <v>4.9000000000000004</v>
      </c>
      <c r="E45" s="33">
        <v>178</v>
      </c>
      <c r="F45" t="s">
        <v>127</v>
      </c>
      <c r="G45" t="s">
        <v>151</v>
      </c>
      <c r="H45" t="s">
        <v>164</v>
      </c>
      <c r="I45">
        <v>1</v>
      </c>
      <c r="J45">
        <v>3</v>
      </c>
      <c r="K45">
        <v>1</v>
      </c>
      <c r="L45">
        <v>0</v>
      </c>
      <c r="M45">
        <v>1</v>
      </c>
      <c r="N45">
        <v>3</v>
      </c>
      <c r="O45">
        <v>1</v>
      </c>
      <c r="P45" s="34">
        <v>4.8523913043478304</v>
      </c>
    </row>
    <row r="46" spans="1:16">
      <c r="A46" t="s">
        <v>165</v>
      </c>
      <c r="B46" t="s">
        <v>141</v>
      </c>
      <c r="C46" s="31">
        <v>1970</v>
      </c>
      <c r="D46" s="32">
        <v>4.9000000000000004</v>
      </c>
      <c r="E46" s="33">
        <v>147</v>
      </c>
      <c r="F46" t="s">
        <v>67</v>
      </c>
      <c r="G46" t="s">
        <v>50</v>
      </c>
      <c r="H46" t="s">
        <v>166</v>
      </c>
      <c r="I46">
        <v>2</v>
      </c>
      <c r="J46">
        <v>4</v>
      </c>
      <c r="K46">
        <v>0</v>
      </c>
      <c r="L46">
        <v>0</v>
      </c>
      <c r="M46">
        <v>2</v>
      </c>
      <c r="N46">
        <v>4</v>
      </c>
      <c r="O46">
        <v>0</v>
      </c>
      <c r="P46" s="34">
        <v>4.8466374269005899</v>
      </c>
    </row>
    <row r="47" spans="1:16">
      <c r="A47" t="s">
        <v>167</v>
      </c>
      <c r="B47" t="s">
        <v>141</v>
      </c>
      <c r="C47" s="31">
        <v>1994</v>
      </c>
      <c r="D47" s="32">
        <v>4.9000000000000004</v>
      </c>
      <c r="E47" s="33">
        <v>326</v>
      </c>
      <c r="F47" t="s">
        <v>127</v>
      </c>
      <c r="G47" t="s">
        <v>151</v>
      </c>
      <c r="H47" t="s">
        <v>168</v>
      </c>
      <c r="I47">
        <v>2</v>
      </c>
      <c r="J47">
        <v>3</v>
      </c>
      <c r="K47">
        <v>0</v>
      </c>
      <c r="L47">
        <v>0</v>
      </c>
      <c r="M47">
        <v>2</v>
      </c>
      <c r="N47">
        <v>3</v>
      </c>
      <c r="O47">
        <v>0</v>
      </c>
      <c r="P47" s="34">
        <v>4.8685706084959799</v>
      </c>
    </row>
    <row r="48" spans="1:16">
      <c r="A48" t="s">
        <v>169</v>
      </c>
      <c r="B48" t="s">
        <v>144</v>
      </c>
      <c r="C48" s="31">
        <v>2020</v>
      </c>
      <c r="D48" s="32">
        <v>4.9000000000000004</v>
      </c>
      <c r="E48" s="33">
        <v>4251</v>
      </c>
      <c r="F48" t="s">
        <v>67</v>
      </c>
      <c r="G48" t="s">
        <v>45</v>
      </c>
      <c r="H48" t="s">
        <v>170</v>
      </c>
      <c r="I48">
        <v>0</v>
      </c>
      <c r="J48">
        <v>3</v>
      </c>
      <c r="K48">
        <v>1</v>
      </c>
      <c r="L48">
        <v>0</v>
      </c>
      <c r="M48">
        <v>0</v>
      </c>
      <c r="N48">
        <v>3</v>
      </c>
      <c r="O48">
        <v>1</v>
      </c>
      <c r="P48" s="34">
        <v>4.8968610251118001</v>
      </c>
    </row>
    <row r="49" spans="1:16">
      <c r="A49" t="s">
        <v>171</v>
      </c>
      <c r="B49" t="s">
        <v>141</v>
      </c>
      <c r="C49" s="31">
        <v>2088</v>
      </c>
      <c r="D49" s="32">
        <v>4.9000000000000004</v>
      </c>
      <c r="E49" s="33">
        <v>312</v>
      </c>
      <c r="F49" t="s">
        <v>67</v>
      </c>
      <c r="G49" t="s">
        <v>50</v>
      </c>
      <c r="H49" t="s">
        <v>172</v>
      </c>
      <c r="I49">
        <v>1</v>
      </c>
      <c r="J49">
        <v>4</v>
      </c>
      <c r="K49">
        <v>2</v>
      </c>
      <c r="L49">
        <v>0</v>
      </c>
      <c r="M49">
        <v>1</v>
      </c>
      <c r="N49">
        <v>3</v>
      </c>
      <c r="O49">
        <v>1</v>
      </c>
      <c r="P49" s="34">
        <v>4.8675266903914602</v>
      </c>
    </row>
    <row r="50" spans="1:16">
      <c r="A50" t="s">
        <v>173</v>
      </c>
      <c r="B50" t="s">
        <v>174</v>
      </c>
      <c r="C50" s="31">
        <v>2099</v>
      </c>
      <c r="D50" s="32">
        <v>4.9000000000000004</v>
      </c>
      <c r="E50" s="33">
        <v>688</v>
      </c>
      <c r="F50" t="s">
        <v>127</v>
      </c>
      <c r="G50" t="s">
        <v>175</v>
      </c>
      <c r="H50" t="s">
        <v>176</v>
      </c>
      <c r="I50">
        <v>1</v>
      </c>
      <c r="J50">
        <v>3</v>
      </c>
      <c r="K50">
        <v>1</v>
      </c>
      <c r="L50">
        <v>1</v>
      </c>
      <c r="M50">
        <v>1</v>
      </c>
      <c r="N50">
        <v>3</v>
      </c>
      <c r="O50">
        <v>0</v>
      </c>
      <c r="P50" s="34">
        <v>4.8828369905956102</v>
      </c>
    </row>
    <row r="51" spans="1:16">
      <c r="A51" t="s">
        <v>177</v>
      </c>
      <c r="B51" t="s">
        <v>144</v>
      </c>
      <c r="C51" s="31">
        <v>2100</v>
      </c>
      <c r="D51" s="32">
        <v>4.9000000000000004</v>
      </c>
      <c r="E51" s="33">
        <v>11</v>
      </c>
      <c r="F51" t="s">
        <v>127</v>
      </c>
      <c r="G51" t="s">
        <v>145</v>
      </c>
      <c r="H51" t="s">
        <v>178</v>
      </c>
      <c r="I51">
        <v>3</v>
      </c>
      <c r="J51">
        <v>4</v>
      </c>
      <c r="K51">
        <v>0</v>
      </c>
      <c r="L51">
        <v>0</v>
      </c>
      <c r="M51">
        <v>3</v>
      </c>
      <c r="N51">
        <v>4</v>
      </c>
      <c r="O51">
        <v>0</v>
      </c>
      <c r="P51" s="34">
        <v>4.7864107883817404</v>
      </c>
    </row>
    <row r="52" spans="1:16">
      <c r="A52" t="s">
        <v>179</v>
      </c>
      <c r="B52" t="s">
        <v>144</v>
      </c>
      <c r="C52" s="31">
        <v>2103</v>
      </c>
      <c r="D52" s="32">
        <v>4.8</v>
      </c>
      <c r="E52" s="33">
        <v>464</v>
      </c>
      <c r="F52" t="s">
        <v>127</v>
      </c>
      <c r="G52" t="s">
        <v>145</v>
      </c>
      <c r="H52" t="s">
        <v>180</v>
      </c>
      <c r="I52">
        <v>1</v>
      </c>
      <c r="J52">
        <v>4</v>
      </c>
      <c r="K52">
        <v>2</v>
      </c>
      <c r="L52">
        <v>0</v>
      </c>
      <c r="M52">
        <v>1</v>
      </c>
      <c r="N52">
        <v>4</v>
      </c>
      <c r="O52">
        <v>2</v>
      </c>
      <c r="P52" s="34">
        <v>4.7952266782911899</v>
      </c>
    </row>
    <row r="53" spans="1:16">
      <c r="A53" t="s">
        <v>181</v>
      </c>
      <c r="B53" t="s">
        <v>144</v>
      </c>
      <c r="C53" s="31">
        <v>2150</v>
      </c>
      <c r="D53" s="32">
        <v>4.9000000000000004</v>
      </c>
      <c r="E53" s="33">
        <v>68</v>
      </c>
      <c r="F53" t="s">
        <v>127</v>
      </c>
      <c r="G53" t="s">
        <v>145</v>
      </c>
      <c r="H53" t="s">
        <v>182</v>
      </c>
      <c r="I53">
        <v>3</v>
      </c>
      <c r="J53">
        <v>2</v>
      </c>
      <c r="K53">
        <v>0</v>
      </c>
      <c r="L53">
        <v>0</v>
      </c>
      <c r="M53">
        <v>3</v>
      </c>
      <c r="N53">
        <v>2</v>
      </c>
      <c r="O53">
        <v>0</v>
      </c>
      <c r="P53" s="34">
        <v>4.82288732394366</v>
      </c>
    </row>
    <row r="54" spans="1:16">
      <c r="A54" t="s">
        <v>183</v>
      </c>
      <c r="B54" t="s">
        <v>141</v>
      </c>
      <c r="C54" s="31">
        <v>2352</v>
      </c>
      <c r="D54" s="32">
        <v>4.9000000000000004</v>
      </c>
      <c r="E54" s="33">
        <v>54</v>
      </c>
      <c r="F54" t="s">
        <v>127</v>
      </c>
      <c r="G54" t="s">
        <v>184</v>
      </c>
      <c r="H54" t="s">
        <v>185</v>
      </c>
      <c r="I54">
        <v>1</v>
      </c>
      <c r="J54">
        <v>1</v>
      </c>
      <c r="K54">
        <v>0</v>
      </c>
      <c r="L54">
        <v>0</v>
      </c>
      <c r="M54">
        <v>1</v>
      </c>
      <c r="N54">
        <v>1</v>
      </c>
      <c r="O54">
        <v>0</v>
      </c>
      <c r="P54" s="34">
        <v>4.8162844036697301</v>
      </c>
    </row>
    <row r="55" spans="1:16">
      <c r="A55" t="s">
        <v>186</v>
      </c>
      <c r="B55" t="s">
        <v>141</v>
      </c>
      <c r="C55" s="31">
        <v>2400</v>
      </c>
      <c r="D55" s="32">
        <v>4.9000000000000004</v>
      </c>
      <c r="E55" s="33">
        <v>199</v>
      </c>
      <c r="F55" t="s">
        <v>127</v>
      </c>
      <c r="G55" t="s">
        <v>145</v>
      </c>
      <c r="H55" t="s">
        <v>187</v>
      </c>
      <c r="I55">
        <v>0</v>
      </c>
      <c r="J55">
        <v>3</v>
      </c>
      <c r="K55">
        <v>0</v>
      </c>
      <c r="L55">
        <v>0</v>
      </c>
      <c r="M55">
        <v>0</v>
      </c>
      <c r="N55">
        <v>3</v>
      </c>
      <c r="O55">
        <v>0</v>
      </c>
      <c r="P55" s="34">
        <v>4.8556320907617501</v>
      </c>
    </row>
    <row r="56" spans="1:16">
      <c r="A56" t="s">
        <v>188</v>
      </c>
      <c r="B56" t="s">
        <v>141</v>
      </c>
      <c r="C56" s="31">
        <v>2500</v>
      </c>
      <c r="D56" s="32">
        <v>4.9000000000000004</v>
      </c>
      <c r="E56" s="33">
        <v>431</v>
      </c>
      <c r="F56" t="s">
        <v>127</v>
      </c>
      <c r="G56" t="s">
        <v>145</v>
      </c>
      <c r="H56" t="s">
        <v>189</v>
      </c>
      <c r="I56">
        <v>1</v>
      </c>
      <c r="J56">
        <v>2</v>
      </c>
      <c r="K56">
        <v>2</v>
      </c>
      <c r="L56">
        <v>0</v>
      </c>
      <c r="M56">
        <v>1</v>
      </c>
      <c r="N56">
        <v>2</v>
      </c>
      <c r="O56">
        <v>2</v>
      </c>
      <c r="P56" s="34">
        <v>4.8746762257169296</v>
      </c>
    </row>
    <row r="57" spans="1:16">
      <c r="A57" t="s">
        <v>190</v>
      </c>
      <c r="B57" t="s">
        <v>144</v>
      </c>
      <c r="C57" s="31">
        <v>2539</v>
      </c>
      <c r="D57" s="32">
        <v>4.9000000000000004</v>
      </c>
      <c r="E57" s="33">
        <v>84</v>
      </c>
      <c r="F57" t="s">
        <v>127</v>
      </c>
      <c r="G57" t="s">
        <v>145</v>
      </c>
      <c r="H57" t="s">
        <v>191</v>
      </c>
      <c r="I57">
        <v>1</v>
      </c>
      <c r="J57">
        <v>4</v>
      </c>
      <c r="K57">
        <v>1</v>
      </c>
      <c r="L57">
        <v>0</v>
      </c>
      <c r="M57">
        <v>1</v>
      </c>
      <c r="N57">
        <v>4</v>
      </c>
      <c r="O57">
        <v>1</v>
      </c>
      <c r="P57" s="34">
        <v>4.8292635658914698</v>
      </c>
    </row>
    <row r="58" spans="1:16">
      <c r="A58" t="s">
        <v>192</v>
      </c>
      <c r="B58" t="s">
        <v>193</v>
      </c>
      <c r="C58" s="31">
        <v>2708</v>
      </c>
      <c r="D58" s="32">
        <v>4</v>
      </c>
      <c r="E58" s="33">
        <v>1</v>
      </c>
      <c r="F58" t="s">
        <v>127</v>
      </c>
      <c r="G58" t="s">
        <v>151</v>
      </c>
      <c r="H58" t="s">
        <v>194</v>
      </c>
      <c r="I58">
        <v>1</v>
      </c>
      <c r="J58">
        <v>3</v>
      </c>
      <c r="K58">
        <v>2</v>
      </c>
      <c r="L58">
        <v>0</v>
      </c>
      <c r="M58">
        <v>1</v>
      </c>
      <c r="N58">
        <v>3</v>
      </c>
      <c r="O58">
        <v>2</v>
      </c>
      <c r="P58" s="34">
        <v>4.7679864253393696</v>
      </c>
    </row>
    <row r="59" spans="1:16">
      <c r="A59" t="s">
        <v>195</v>
      </c>
      <c r="B59" t="s">
        <v>196</v>
      </c>
      <c r="C59" s="31">
        <v>2939</v>
      </c>
      <c r="D59" s="32">
        <v>4.9000000000000004</v>
      </c>
      <c r="E59" s="33">
        <v>294</v>
      </c>
      <c r="F59" t="s">
        <v>127</v>
      </c>
      <c r="G59" t="s">
        <v>145</v>
      </c>
      <c r="H59" t="s">
        <v>197</v>
      </c>
      <c r="I59">
        <v>3</v>
      </c>
      <c r="J59">
        <v>3</v>
      </c>
      <c r="K59">
        <v>2</v>
      </c>
      <c r="L59">
        <v>1</v>
      </c>
      <c r="M59">
        <v>3</v>
      </c>
      <c r="N59">
        <v>3</v>
      </c>
      <c r="O59">
        <v>2</v>
      </c>
      <c r="P59" s="34">
        <v>4.8660780669144996</v>
      </c>
    </row>
    <row r="60" spans="1:16">
      <c r="A60" t="s">
        <v>198</v>
      </c>
      <c r="B60" t="s">
        <v>43</v>
      </c>
      <c r="C60" s="31">
        <v>5365</v>
      </c>
      <c r="D60" s="32">
        <v>5</v>
      </c>
      <c r="E60" s="33">
        <v>20</v>
      </c>
      <c r="F60" t="s">
        <v>148</v>
      </c>
      <c r="G60" t="s">
        <v>50</v>
      </c>
      <c r="H60" t="s">
        <v>199</v>
      </c>
      <c r="I60">
        <v>0</v>
      </c>
      <c r="J60">
        <v>1</v>
      </c>
      <c r="K60">
        <v>0</v>
      </c>
      <c r="L60">
        <v>2</v>
      </c>
      <c r="M60">
        <v>0</v>
      </c>
      <c r="N60">
        <v>1</v>
      </c>
      <c r="O60">
        <v>0</v>
      </c>
      <c r="P60" s="34">
        <v>4.8097490347490401</v>
      </c>
    </row>
    <row r="61" spans="1:16">
      <c r="A61" t="s">
        <v>200</v>
      </c>
      <c r="B61" t="s">
        <v>43</v>
      </c>
      <c r="C61" s="31">
        <v>5605</v>
      </c>
      <c r="D61" s="32">
        <v>5</v>
      </c>
      <c r="E61" s="33">
        <v>28</v>
      </c>
      <c r="F61" t="s">
        <v>148</v>
      </c>
      <c r="G61" t="s">
        <v>50</v>
      </c>
      <c r="H61" t="s">
        <v>201</v>
      </c>
      <c r="I61">
        <v>0</v>
      </c>
      <c r="J61">
        <v>1</v>
      </c>
      <c r="K61">
        <v>0</v>
      </c>
      <c r="L61">
        <v>2</v>
      </c>
      <c r="M61">
        <v>0</v>
      </c>
      <c r="N61">
        <v>1</v>
      </c>
      <c r="O61">
        <v>0</v>
      </c>
      <c r="P61" s="34">
        <v>4.8208181818181801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/>
  </sheetViews>
  <sheetFormatPr defaultColWidth="8.7109375" defaultRowHeight="15"/>
  <cols>
    <col min="1" max="1" width="28" customWidth="1"/>
    <col min="2" max="2" width="9" customWidth="1"/>
    <col min="3" max="4" width="16" customWidth="1"/>
    <col min="5" max="5" width="50" customWidth="1"/>
  </cols>
  <sheetData>
    <row r="1" spans="1:5" ht="21">
      <c r="A1" s="36" t="s">
        <v>202</v>
      </c>
    </row>
    <row r="2" spans="1:5">
      <c r="A2" s="37" t="s">
        <v>203</v>
      </c>
    </row>
    <row r="4" spans="1:5" ht="30" customHeight="1">
      <c r="A4" s="38" t="s">
        <v>25</v>
      </c>
      <c r="B4" s="38" t="s">
        <v>26</v>
      </c>
      <c r="C4" s="38" t="s">
        <v>204</v>
      </c>
      <c r="D4" s="38" t="s">
        <v>205</v>
      </c>
      <c r="E4" s="38" t="s">
        <v>206</v>
      </c>
    </row>
    <row r="5" spans="1:5" ht="18.75">
      <c r="A5" s="19" t="s">
        <v>207</v>
      </c>
      <c r="B5" s="18">
        <v>1</v>
      </c>
      <c r="C5" s="39">
        <v>0</v>
      </c>
      <c r="D5" s="39">
        <v>1.49E-2</v>
      </c>
      <c r="E5" s="40" t="s">
        <v>208</v>
      </c>
    </row>
    <row r="6" spans="1:5" ht="18.75">
      <c r="A6" s="19" t="s">
        <v>209</v>
      </c>
      <c r="B6" s="18">
        <v>3</v>
      </c>
      <c r="C6" s="39">
        <v>0</v>
      </c>
      <c r="D6" s="39">
        <v>1.49E-2</v>
      </c>
      <c r="E6" s="40" t="s">
        <v>210</v>
      </c>
    </row>
    <row r="7" spans="1:5" ht="18.75">
      <c r="A7" s="19" t="s">
        <v>211</v>
      </c>
      <c r="B7" s="18">
        <v>3</v>
      </c>
      <c r="C7" s="39">
        <v>2.9499999999999998E-2</v>
      </c>
      <c r="D7" s="39">
        <v>1.49E-2</v>
      </c>
      <c r="E7" s="40" t="s">
        <v>212</v>
      </c>
    </row>
    <row r="8" spans="1:5" ht="18.75">
      <c r="A8" s="19" t="s">
        <v>213</v>
      </c>
      <c r="B8" s="18">
        <v>6</v>
      </c>
      <c r="C8" s="39">
        <v>2.9499999999999998E-2</v>
      </c>
      <c r="D8" s="39">
        <v>1.49E-2</v>
      </c>
      <c r="E8" s="40" t="s">
        <v>214</v>
      </c>
    </row>
    <row r="9" spans="1:5" ht="18.75">
      <c r="A9" s="19" t="s">
        <v>215</v>
      </c>
      <c r="B9" s="18">
        <v>12</v>
      </c>
      <c r="C9" s="39">
        <v>2.9499999999999998E-2</v>
      </c>
      <c r="D9" s="39">
        <v>1.49E-2</v>
      </c>
      <c r="E9" s="40" t="s">
        <v>216</v>
      </c>
    </row>
    <row r="12" spans="1:5" ht="15.75">
      <c r="A12" s="41" t="s">
        <v>217</v>
      </c>
    </row>
    <row r="13" spans="1:5">
      <c r="A13" s="37" t="s">
        <v>218</v>
      </c>
    </row>
    <row r="14" spans="1:5">
      <c r="A14" s="37" t="s">
        <v>219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zoomScaleNormal="100" workbookViewId="0"/>
  </sheetViews>
  <sheetFormatPr defaultColWidth="8.7109375" defaultRowHeight="15"/>
  <cols>
    <col min="1" max="1" width="26" customWidth="1"/>
    <col min="2" max="2" width="30" customWidth="1"/>
  </cols>
  <sheetData>
    <row r="1" spans="1:2" ht="21">
      <c r="A1" s="36" t="s">
        <v>220</v>
      </c>
    </row>
    <row r="2" spans="1:2">
      <c r="A2" s="37" t="s">
        <v>221</v>
      </c>
    </row>
    <row r="4" spans="1:2">
      <c r="A4" s="38" t="s">
        <v>222</v>
      </c>
      <c r="B4" s="38" t="s">
        <v>223</v>
      </c>
    </row>
    <row r="5" spans="1:2">
      <c r="A5" s="19" t="s">
        <v>224</v>
      </c>
      <c r="B5" s="18" t="s">
        <v>34</v>
      </c>
    </row>
    <row r="6" spans="1:2">
      <c r="A6" s="19" t="s">
        <v>5</v>
      </c>
      <c r="B6" s="18" t="s">
        <v>35</v>
      </c>
    </row>
    <row r="7" spans="1:2">
      <c r="A7" s="19" t="s">
        <v>225</v>
      </c>
      <c r="B7" s="18" t="s">
        <v>36</v>
      </c>
    </row>
    <row r="8" spans="1:2">
      <c r="A8" s="19" t="s">
        <v>226</v>
      </c>
      <c r="B8" s="18" t="s">
        <v>37</v>
      </c>
    </row>
    <row r="11" spans="1:2">
      <c r="A11" s="38" t="s">
        <v>227</v>
      </c>
      <c r="B11" s="38" t="s">
        <v>223</v>
      </c>
    </row>
    <row r="12" spans="1:2">
      <c r="A12" s="19" t="s">
        <v>228</v>
      </c>
      <c r="B12" s="18" t="s">
        <v>38</v>
      </c>
    </row>
    <row r="13" spans="1:2">
      <c r="A13" s="19" t="s">
        <v>7</v>
      </c>
      <c r="B13" s="18" t="s">
        <v>39</v>
      </c>
    </row>
    <row r="14" spans="1:2">
      <c r="A14" s="19" t="s">
        <v>229</v>
      </c>
      <c r="B14" s="18" t="s">
        <v>40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1"/>
  <sheetViews>
    <sheetView zoomScaleNormal="100" workbookViewId="0"/>
  </sheetViews>
  <sheetFormatPr defaultColWidth="8.7109375" defaultRowHeight="15"/>
  <cols>
    <col min="1" max="1" width="6" customWidth="1"/>
    <col min="2" max="2" width="50" customWidth="1"/>
    <col min="3" max="3" width="12" customWidth="1"/>
    <col min="4" max="4" width="11" customWidth="1"/>
    <col min="5" max="6" width="13" customWidth="1"/>
    <col min="7" max="8" width="16" customWidth="1"/>
    <col min="9" max="9" width="12" customWidth="1"/>
    <col min="10" max="10" width="14" customWidth="1"/>
  </cols>
  <sheetData>
    <row r="1" spans="1:10" ht="30">
      <c r="A1" s="30" t="s">
        <v>230</v>
      </c>
      <c r="B1" s="30" t="s">
        <v>14</v>
      </c>
      <c r="C1" s="30" t="s">
        <v>16</v>
      </c>
      <c r="D1" s="30" t="s">
        <v>20</v>
      </c>
      <c r="E1" s="30" t="s">
        <v>231</v>
      </c>
      <c r="F1" s="30" t="s">
        <v>232</v>
      </c>
      <c r="G1" s="30" t="s">
        <v>233</v>
      </c>
      <c r="H1" s="30" t="s">
        <v>234</v>
      </c>
      <c r="I1" s="30" t="s">
        <v>235</v>
      </c>
      <c r="J1" s="30" t="s">
        <v>236</v>
      </c>
    </row>
    <row r="2" spans="1:10">
      <c r="A2">
        <v>2</v>
      </c>
      <c r="B2" t="str">
        <f>Shoes!A2</f>
        <v>Outdoor Camping Hiking Shoes &amp; Sandals - Non-Slip Wear-Resistant Shock-Absorbing Gym Running Shoes</v>
      </c>
      <c r="C2" s="31">
        <f>Shoes!C2</f>
        <v>69</v>
      </c>
      <c r="D2">
        <f>IF(Shoes!C2&lt;=Dashboard!$D$4,1,0)</f>
        <v>1</v>
      </c>
      <c r="E2">
        <f>IF(Dashboard!$D$5="Light trails / parks",Shoes!I2,IF(Dashboard!$D$5="Mixed hiking trails",Shoes!J2,IF(Dashboard!$D$5="Rocky / mountainous",Shoes!K2,IF(Dashboard!$D$5="Wet / river crossings",Shoes!L2,0))))</f>
        <v>1</v>
      </c>
      <c r="F2">
        <f>IF(Dashboard!$D$6="Beginner / casual",Shoes!M2,IF(Dashboard!$D$6="Regular hiker",Shoes!N2,IF(Dashboard!$D$6="Advanced / pro",Shoes!O2,0)))</f>
        <v>3</v>
      </c>
      <c r="G2" s="34">
        <f>Shoes!P2</f>
        <v>4.79006024096386</v>
      </c>
      <c r="H2" s="32">
        <f t="shared" ref="H2:H33" si="0">IF(D2=1,(E2*4)+(F2*3)+((G2-4)*30),-1)</f>
        <v>36.701807228915797</v>
      </c>
      <c r="I2" s="42">
        <f t="shared" ref="I2:I33" si="1">H2+ROW()/100000</f>
        <v>36.701827228915796</v>
      </c>
      <c r="J2" s="31">
        <f t="shared" ref="J2:J33" si="2">IF(D2=1,C2,"")</f>
        <v>69</v>
      </c>
    </row>
    <row r="3" spans="1:10">
      <c r="A3">
        <v>3</v>
      </c>
      <c r="B3" t="str">
        <f>Shoes!A3</f>
        <v>Unisex Outdoor Mountain Trekking Climbing Men Hiking Shoe Non-slip Breathable Camping Running Sport Sneakers#BY201</v>
      </c>
      <c r="C3" s="31">
        <f>Shoes!C3</f>
        <v>89</v>
      </c>
      <c r="D3">
        <f>IF(Shoes!C3&lt;=Dashboard!$D$4,1,0)</f>
        <v>1</v>
      </c>
      <c r="E3">
        <f>IF(Dashboard!$D$5="Light trails / parks",Shoes!I3,IF(Dashboard!$D$5="Mixed hiking trails",Shoes!J3,IF(Dashboard!$D$5="Rocky / mountainous",Shoes!K3,IF(Dashboard!$D$5="Wet / river crossings",Shoes!L3,0))))</f>
        <v>3</v>
      </c>
      <c r="F3">
        <f>IF(Dashboard!$D$6="Beginner / casual",Shoes!M3,IF(Dashboard!$D$6="Regular hiker",Shoes!N3,IF(Dashboard!$D$6="Advanced / pro",Shoes!O3,0)))</f>
        <v>4</v>
      </c>
      <c r="G3" s="34">
        <f>Shoes!P3</f>
        <v>4.7955739692805199</v>
      </c>
      <c r="H3" s="32">
        <f t="shared" si="0"/>
        <v>47.867219078415602</v>
      </c>
      <c r="I3" s="42">
        <f t="shared" si="1"/>
        <v>47.867249078415604</v>
      </c>
      <c r="J3" s="31">
        <f t="shared" si="2"/>
        <v>89</v>
      </c>
    </row>
    <row r="4" spans="1:10">
      <c r="A4">
        <v>4</v>
      </c>
      <c r="B4" t="str">
        <f>Shoes!A4</f>
        <v>Men's Hiking w/ Anti-Skid Shoes Super Flex Sneakers #M282 (Standard Size) NO SHOE BOX</v>
      </c>
      <c r="C4" s="31">
        <f>Shoes!C4</f>
        <v>140</v>
      </c>
      <c r="D4">
        <f>IF(Shoes!C4&lt;=Dashboard!$D$4,1,0)</f>
        <v>1</v>
      </c>
      <c r="E4">
        <f>IF(Dashboard!$D$5="Light trails / parks",Shoes!I4,IF(Dashboard!$D$5="Mixed hiking trails",Shoes!J4,IF(Dashboard!$D$5="Rocky / mountainous",Shoes!K4,IF(Dashboard!$D$5="Wet / river crossings",Shoes!L4,0))))</f>
        <v>0</v>
      </c>
      <c r="F4">
        <f>IF(Dashboard!$D$6="Beginner / casual",Shoes!M4,IF(Dashboard!$D$6="Regular hiker",Shoes!N4,IF(Dashboard!$D$6="Advanced / pro",Shoes!O4,0)))</f>
        <v>1</v>
      </c>
      <c r="G4" s="34">
        <f>Shoes!P4</f>
        <v>4.6329535683577001</v>
      </c>
      <c r="H4" s="32">
        <f t="shared" si="0"/>
        <v>21.988607050731005</v>
      </c>
      <c r="I4" s="42">
        <f t="shared" si="1"/>
        <v>21.988647050731004</v>
      </c>
      <c r="J4" s="31">
        <f t="shared" si="2"/>
        <v>140</v>
      </c>
    </row>
    <row r="5" spans="1:10">
      <c r="A5">
        <v>5</v>
      </c>
      <c r="B5" t="str">
        <f>Shoes!A5</f>
        <v>Hiking shoes For Outdoor Sports Non-Slip Breathable Mesh Men's Quick-dry Rubber Climbing Trekking</v>
      </c>
      <c r="C5" s="31">
        <f>Shoes!C5</f>
        <v>158</v>
      </c>
      <c r="D5">
        <f>IF(Shoes!C5&lt;=Dashboard!$D$4,1,0)</f>
        <v>1</v>
      </c>
      <c r="E5">
        <f>IF(Dashboard!$D$5="Light trails / parks",Shoes!I5,IF(Dashboard!$D$5="Mixed hiking trails",Shoes!J5,IF(Dashboard!$D$5="Rocky / mountainous",Shoes!K5,IF(Dashboard!$D$5="Wet / river crossings",Shoes!L5,0))))</f>
        <v>2</v>
      </c>
      <c r="F5">
        <f>IF(Dashboard!$D$6="Beginner / casual",Shoes!M5,IF(Dashboard!$D$6="Regular hiker",Shoes!N5,IF(Dashboard!$D$6="Advanced / pro",Shoes!O5,0)))</f>
        <v>5</v>
      </c>
      <c r="G5" s="34">
        <f>Shoes!P5</f>
        <v>4.7981179099346898</v>
      </c>
      <c r="H5" s="32">
        <f t="shared" si="0"/>
        <v>46.943537298040695</v>
      </c>
      <c r="I5" s="42">
        <f t="shared" si="1"/>
        <v>46.943587298040697</v>
      </c>
      <c r="J5" s="31">
        <f t="shared" si="2"/>
        <v>158</v>
      </c>
    </row>
    <row r="6" spans="1:10">
      <c r="A6">
        <v>6</v>
      </c>
      <c r="B6" t="str">
        <f>Shoes!A6</f>
        <v>Women's outdoor hiking shoes, convenient and simple, comfortable on the feet</v>
      </c>
      <c r="C6" s="31">
        <f>Shoes!C6</f>
        <v>179</v>
      </c>
      <c r="D6">
        <f>IF(Shoes!C6&lt;=Dashboard!$D$4,1,0)</f>
        <v>1</v>
      </c>
      <c r="E6">
        <f>IF(Dashboard!$D$5="Light trails / parks",Shoes!I6,IF(Dashboard!$D$5="Mixed hiking trails",Shoes!J6,IF(Dashboard!$D$5="Rocky / mountainous",Shoes!K6,IF(Dashboard!$D$5="Wet / river crossings",Shoes!L6,0))))</f>
        <v>0</v>
      </c>
      <c r="F6">
        <f>IF(Dashboard!$D$6="Beginner / casual",Shoes!M6,IF(Dashboard!$D$6="Regular hiker",Shoes!N6,IF(Dashboard!$D$6="Advanced / pro",Shoes!O6,0)))</f>
        <v>2</v>
      </c>
      <c r="G6" s="34">
        <f>Shoes!P6</f>
        <v>4.7476872246696002</v>
      </c>
      <c r="H6" s="32">
        <f t="shared" si="0"/>
        <v>28.430616740088006</v>
      </c>
      <c r="I6" s="42">
        <f t="shared" si="1"/>
        <v>28.430676740088007</v>
      </c>
      <c r="J6" s="31">
        <f t="shared" si="2"/>
        <v>179</v>
      </c>
    </row>
    <row r="7" spans="1:10">
      <c r="A7">
        <v>7</v>
      </c>
      <c r="B7" t="str">
        <f>Shoes!A7</f>
        <v>Unisex Outdoor Mountain Trekking Climbing Hiking Shoe Camping Running Sport Sneakers</v>
      </c>
      <c r="C7" s="31">
        <f>Shoes!C7</f>
        <v>199</v>
      </c>
      <c r="D7">
        <f>IF(Shoes!C7&lt;=Dashboard!$D$4,1,0)</f>
        <v>1</v>
      </c>
      <c r="E7">
        <f>IF(Dashboard!$D$5="Light trails / parks",Shoes!I7,IF(Dashboard!$D$5="Mixed hiking trails",Shoes!J7,IF(Dashboard!$D$5="Rocky / mountainous",Shoes!K7,IF(Dashboard!$D$5="Wet / river crossings",Shoes!L7,0))))</f>
        <v>3</v>
      </c>
      <c r="F7">
        <f>IF(Dashboard!$D$6="Beginner / casual",Shoes!M7,IF(Dashboard!$D$6="Regular hiker",Shoes!N7,IF(Dashboard!$D$6="Advanced / pro",Shoes!O7,0)))</f>
        <v>3</v>
      </c>
      <c r="G7" s="34">
        <f>Shoes!P7</f>
        <v>4.7996514292990398</v>
      </c>
      <c r="H7" s="32">
        <f t="shared" si="0"/>
        <v>44.989542878971193</v>
      </c>
      <c r="I7" s="42">
        <f t="shared" si="1"/>
        <v>44.989612878971194</v>
      </c>
      <c r="J7" s="31">
        <f t="shared" si="2"/>
        <v>199</v>
      </c>
    </row>
    <row r="8" spans="1:10">
      <c r="A8">
        <v>8</v>
      </c>
      <c r="B8" t="str">
        <f>Shoes!A8</f>
        <v>Hiking Shoes Men/women Rubber Anti-slip Waterproof Wading Shoes Breathable Lightweight</v>
      </c>
      <c r="C8" s="31">
        <f>Shoes!C8</f>
        <v>211</v>
      </c>
      <c r="D8">
        <f>IF(Shoes!C8&lt;=Dashboard!$D$4,1,0)</f>
        <v>1</v>
      </c>
      <c r="E8">
        <f>IF(Dashboard!$D$5="Light trails / parks",Shoes!I8,IF(Dashboard!$D$5="Mixed hiking trails",Shoes!J8,IF(Dashboard!$D$5="Rocky / mountainous",Shoes!K8,IF(Dashboard!$D$5="Wet / river crossings",Shoes!L8,0))))</f>
        <v>0</v>
      </c>
      <c r="F8">
        <f>IF(Dashboard!$D$6="Beginner / casual",Shoes!M8,IF(Dashboard!$D$6="Regular hiker",Shoes!N8,IF(Dashboard!$D$6="Advanced / pro",Shoes!O8,0)))</f>
        <v>2</v>
      </c>
      <c r="G8" s="34">
        <f>Shoes!P8</f>
        <v>4.7846638655462197</v>
      </c>
      <c r="H8" s="32">
        <f t="shared" si="0"/>
        <v>29.539915966386591</v>
      </c>
      <c r="I8" s="42">
        <f t="shared" si="1"/>
        <v>29.539995966386591</v>
      </c>
      <c r="J8" s="31">
        <f t="shared" si="2"/>
        <v>211</v>
      </c>
    </row>
    <row r="9" spans="1:10">
      <c r="A9">
        <v>9</v>
      </c>
      <c r="B9" t="str">
        <f>Shoes!A9</f>
        <v>Unisex Outdoor Mountain Trekking Climbing Hiking Shoe Camping Running Sport Sneakers</v>
      </c>
      <c r="C9" s="31">
        <f>Shoes!C9</f>
        <v>225</v>
      </c>
      <c r="D9">
        <f>IF(Shoes!C9&lt;=Dashboard!$D$4,1,0)</f>
        <v>1</v>
      </c>
      <c r="E9">
        <f>IF(Dashboard!$D$5="Light trails / parks",Shoes!I9,IF(Dashboard!$D$5="Mixed hiking trails",Shoes!J9,IF(Dashboard!$D$5="Rocky / mountainous",Shoes!K9,IF(Dashboard!$D$5="Wet / river crossings",Shoes!L9,0))))</f>
        <v>3</v>
      </c>
      <c r="F9">
        <f>IF(Dashboard!$D$6="Beginner / casual",Shoes!M9,IF(Dashboard!$D$6="Regular hiker",Shoes!N9,IF(Dashboard!$D$6="Advanced / pro",Shoes!O9,0)))</f>
        <v>3</v>
      </c>
      <c r="G9" s="34">
        <f>Shoes!P9</f>
        <v>4.8154494382022497</v>
      </c>
      <c r="H9" s="32">
        <f t="shared" si="0"/>
        <v>45.463483146067489</v>
      </c>
      <c r="I9" s="42">
        <f t="shared" si="1"/>
        <v>45.463573146067489</v>
      </c>
      <c r="J9" s="31">
        <f t="shared" si="2"/>
        <v>225</v>
      </c>
    </row>
    <row r="10" spans="1:10">
      <c r="A10">
        <v>10</v>
      </c>
      <c r="B10" t="str">
        <f>Shoes!A10</f>
        <v>Hiking shoes camping trekking shoes hiking shoes women Sport Breathable Slip-resistant outdoor shoes</v>
      </c>
      <c r="C10" s="31">
        <f>Shoes!C10</f>
        <v>235</v>
      </c>
      <c r="D10">
        <f>IF(Shoes!C10&lt;=Dashboard!$D$4,1,0)</f>
        <v>1</v>
      </c>
      <c r="E10">
        <f>IF(Dashboard!$D$5="Light trails / parks",Shoes!I10,IF(Dashboard!$D$5="Mixed hiking trails",Shoes!J10,IF(Dashboard!$D$5="Rocky / mountainous",Shoes!K10,IF(Dashboard!$D$5="Wet / river crossings",Shoes!L10,0))))</f>
        <v>1</v>
      </c>
      <c r="F10">
        <f>IF(Dashboard!$D$6="Beginner / casual",Shoes!M10,IF(Dashboard!$D$6="Regular hiker",Shoes!N10,IF(Dashboard!$D$6="Advanced / pro",Shoes!O10,0)))</f>
        <v>3</v>
      </c>
      <c r="G10" s="34">
        <f>Shoes!P10</f>
        <v>4.7335889570552201</v>
      </c>
      <c r="H10" s="32">
        <f t="shared" si="0"/>
        <v>35.007668711656606</v>
      </c>
      <c r="I10" s="42">
        <f t="shared" si="1"/>
        <v>35.00776871165661</v>
      </c>
      <c r="J10" s="31">
        <f t="shared" si="2"/>
        <v>235</v>
      </c>
    </row>
    <row r="11" spans="1:10">
      <c r="A11">
        <v>11</v>
      </c>
      <c r="B11" t="str">
        <f>Shoes!A11</f>
        <v>Men/women Outdoor Mountain Trekking Climbing Hiking Shoes Breathable Camping Running Sport Sneakers</v>
      </c>
      <c r="C11" s="31">
        <f>Shoes!C11</f>
        <v>252</v>
      </c>
      <c r="D11">
        <f>IF(Shoes!C11&lt;=Dashboard!$D$4,1,0)</f>
        <v>1</v>
      </c>
      <c r="E11">
        <f>IF(Dashboard!$D$5="Light trails / parks",Shoes!I11,IF(Dashboard!$D$5="Mixed hiking trails",Shoes!J11,IF(Dashboard!$D$5="Rocky / mountainous",Shoes!K11,IF(Dashboard!$D$5="Wet / river crossings",Shoes!L11,0))))</f>
        <v>3</v>
      </c>
      <c r="F11">
        <f>IF(Dashboard!$D$6="Beginner / casual",Shoes!M11,IF(Dashboard!$D$6="Regular hiker",Shoes!N11,IF(Dashboard!$D$6="Advanced / pro",Shoes!O11,0)))</f>
        <v>3</v>
      </c>
      <c r="G11" s="34">
        <f>Shoes!P11</f>
        <v>4.7790358744394599</v>
      </c>
      <c r="H11" s="32">
        <f t="shared" si="0"/>
        <v>44.3710762331838</v>
      </c>
      <c r="I11" s="42">
        <f t="shared" si="1"/>
        <v>44.371186233183799</v>
      </c>
      <c r="J11" s="31">
        <f t="shared" si="2"/>
        <v>252</v>
      </c>
    </row>
    <row r="12" spans="1:10">
      <c r="A12">
        <v>12</v>
      </c>
      <c r="B12" t="str">
        <f>Shoes!A12</f>
        <v>【COD】Men Hiking Shoes Outdoor Sports Non-slip Breathable mesh climbing cloth shoes Trekking Aqua shoes#BY201</v>
      </c>
      <c r="C12" s="31">
        <f>Shoes!C12</f>
        <v>259</v>
      </c>
      <c r="D12">
        <f>IF(Shoes!C12&lt;=Dashboard!$D$4,1,0)</f>
        <v>1</v>
      </c>
      <c r="E12">
        <f>IF(Dashboard!$D$5="Light trails / parks",Shoes!I12,IF(Dashboard!$D$5="Mixed hiking trails",Shoes!J12,IF(Dashboard!$D$5="Rocky / mountainous",Shoes!K12,IF(Dashboard!$D$5="Wet / river crossings",Shoes!L12,0))))</f>
        <v>2</v>
      </c>
      <c r="F12">
        <f>IF(Dashboard!$D$6="Beginner / casual",Shoes!M12,IF(Dashboard!$D$6="Regular hiker",Shoes!N12,IF(Dashboard!$D$6="Advanced / pro",Shoes!O12,0)))</f>
        <v>5</v>
      </c>
      <c r="G12" s="34">
        <f>Shoes!P12</f>
        <v>4.7729999999999997</v>
      </c>
      <c r="H12" s="32">
        <f t="shared" si="0"/>
        <v>46.189999999999991</v>
      </c>
      <c r="I12" s="42">
        <f t="shared" si="1"/>
        <v>46.190119999999993</v>
      </c>
      <c r="J12" s="31">
        <f t="shared" si="2"/>
        <v>259</v>
      </c>
    </row>
    <row r="13" spans="1:10">
      <c r="A13">
        <v>13</v>
      </c>
      <c r="B13" t="str">
        <f>Shoes!A13</f>
        <v>Men Hiking Shoes Non-slip Breathable Mesh Climbing Cloth Shoes Trekking Outdoor Sports Shoes</v>
      </c>
      <c r="C13" s="31">
        <f>Shoes!C13</f>
        <v>261</v>
      </c>
      <c r="D13">
        <f>IF(Shoes!C13&lt;=Dashboard!$D$4,1,0)</f>
        <v>1</v>
      </c>
      <c r="E13">
        <f>IF(Dashboard!$D$5="Light trails / parks",Shoes!I13,IF(Dashboard!$D$5="Mixed hiking trails",Shoes!J13,IF(Dashboard!$D$5="Rocky / mountainous",Shoes!K13,IF(Dashboard!$D$5="Wet / river crossings",Shoes!L13,0))))</f>
        <v>2</v>
      </c>
      <c r="F13">
        <f>IF(Dashboard!$D$6="Beginner / casual",Shoes!M13,IF(Dashboard!$D$6="Regular hiker",Shoes!N13,IF(Dashboard!$D$6="Advanced / pro",Shoes!O13,0)))</f>
        <v>5</v>
      </c>
      <c r="G13" s="34">
        <f>Shoes!P13</f>
        <v>4.7028689956331897</v>
      </c>
      <c r="H13" s="32">
        <f t="shared" si="0"/>
        <v>44.086069868995693</v>
      </c>
      <c r="I13" s="42">
        <f t="shared" si="1"/>
        <v>44.086199868995692</v>
      </c>
      <c r="J13" s="31">
        <f t="shared" si="2"/>
        <v>261</v>
      </c>
    </row>
    <row r="14" spans="1:10">
      <c r="A14">
        <v>14</v>
      </c>
      <c r="B14" t="str">
        <f>Shoes!A14</f>
        <v>Aqua Shoes for women men speedo aqua shoes camping shoes for beach Quick-Dry trekking aqua shoes</v>
      </c>
      <c r="C14" s="31">
        <f>Shoes!C14</f>
        <v>265</v>
      </c>
      <c r="D14">
        <f>IF(Shoes!C14&lt;=Dashboard!$D$4,1,0)</f>
        <v>1</v>
      </c>
      <c r="E14">
        <f>IF(Dashboard!$D$5="Light trails / parks",Shoes!I14,IF(Dashboard!$D$5="Mixed hiking trails",Shoes!J14,IF(Dashboard!$D$5="Rocky / mountainous",Shoes!K14,IF(Dashboard!$D$5="Wet / river crossings",Shoes!L14,0))))</f>
        <v>1</v>
      </c>
      <c r="F14">
        <f>IF(Dashboard!$D$6="Beginner / casual",Shoes!M14,IF(Dashboard!$D$6="Regular hiker",Shoes!N14,IF(Dashboard!$D$6="Advanced / pro",Shoes!O14,0)))</f>
        <v>1</v>
      </c>
      <c r="G14" s="34">
        <f>Shoes!P14</f>
        <v>4.7634169884169903</v>
      </c>
      <c r="H14" s="32">
        <f t="shared" si="0"/>
        <v>29.90250965250971</v>
      </c>
      <c r="I14" s="42">
        <f t="shared" si="1"/>
        <v>29.902649652509709</v>
      </c>
      <c r="J14" s="31">
        <f t="shared" si="2"/>
        <v>265</v>
      </c>
    </row>
    <row r="15" spans="1:10">
      <c r="A15">
        <v>15</v>
      </c>
      <c r="B15" t="str">
        <f>Shoes!A15</f>
        <v>Men's Outdoor Mountain Climbing Mountain Climbing Camping Running Sports Sports Shoes</v>
      </c>
      <c r="C15" s="31">
        <f>Shoes!C15</f>
        <v>267</v>
      </c>
      <c r="D15">
        <f>IF(Shoes!C15&lt;=Dashboard!$D$4,1,0)</f>
        <v>1</v>
      </c>
      <c r="E15">
        <f>IF(Dashboard!$D$5="Light trails / parks",Shoes!I15,IF(Dashboard!$D$5="Mixed hiking trails",Shoes!J15,IF(Dashboard!$D$5="Rocky / mountainous",Shoes!K15,IF(Dashboard!$D$5="Wet / river crossings",Shoes!L15,0))))</f>
        <v>2</v>
      </c>
      <c r="F15">
        <f>IF(Dashboard!$D$6="Beginner / casual",Shoes!M15,IF(Dashboard!$D$6="Regular hiker",Shoes!N15,IF(Dashboard!$D$6="Advanced / pro",Shoes!O15,0)))</f>
        <v>2</v>
      </c>
      <c r="G15" s="34">
        <f>Shoes!P15</f>
        <v>4.8281496062992098</v>
      </c>
      <c r="H15" s="32">
        <f t="shared" si="0"/>
        <v>38.844488188976293</v>
      </c>
      <c r="I15" s="42">
        <f t="shared" si="1"/>
        <v>38.84463818897629</v>
      </c>
      <c r="J15" s="31">
        <f t="shared" si="2"/>
        <v>267</v>
      </c>
    </row>
    <row r="16" spans="1:10">
      <c r="A16">
        <v>16</v>
      </c>
      <c r="B16" t="str">
        <f>Shoes!A16</f>
        <v>Unisex Hiking Shoes Quick-dry Rubber Rock Climbing Shoes Non-slip Walking Shoes For Men Women Size 36 to 45</v>
      </c>
      <c r="C16" s="31">
        <f>Shoes!C16</f>
        <v>279</v>
      </c>
      <c r="D16">
        <f>IF(Shoes!C16&lt;=Dashboard!$D$4,1,0)</f>
        <v>1</v>
      </c>
      <c r="E16">
        <f>IF(Dashboard!$D$5="Light trails / parks",Shoes!I16,IF(Dashboard!$D$5="Mixed hiking trails",Shoes!J16,IF(Dashboard!$D$5="Rocky / mountainous",Shoes!K16,IF(Dashboard!$D$5="Wet / river crossings",Shoes!L16,0))))</f>
        <v>2</v>
      </c>
      <c r="F16">
        <f>IF(Dashboard!$D$6="Beginner / casual",Shoes!M16,IF(Dashboard!$D$6="Regular hiker",Shoes!N16,IF(Dashboard!$D$6="Advanced / pro",Shoes!O16,0)))</f>
        <v>2</v>
      </c>
      <c r="G16" s="34">
        <f>Shoes!P16</f>
        <v>4.6380585898708997</v>
      </c>
      <c r="H16" s="32">
        <f t="shared" si="0"/>
        <v>33.141757696126987</v>
      </c>
      <c r="I16" s="42">
        <f t="shared" si="1"/>
        <v>33.141917696126988</v>
      </c>
      <c r="J16" s="31">
        <f t="shared" si="2"/>
        <v>279</v>
      </c>
    </row>
    <row r="17" spans="1:10">
      <c r="A17">
        <v>17</v>
      </c>
      <c r="B17" t="str">
        <f>Shoes!A17</f>
        <v>Hiking Shoes Men Women Waterproof Trekking Shoes Water Rafting Shoe Outdoor Camping Water Rafting</v>
      </c>
      <c r="C17" s="31">
        <f>Shoes!C17</f>
        <v>289</v>
      </c>
      <c r="D17">
        <f>IF(Shoes!C17&lt;=Dashboard!$D$4,1,0)</f>
        <v>1</v>
      </c>
      <c r="E17">
        <f>IF(Dashboard!$D$5="Light trails / parks",Shoes!I17,IF(Dashboard!$D$5="Mixed hiking trails",Shoes!J17,IF(Dashboard!$D$5="Rocky / mountainous",Shoes!K17,IF(Dashboard!$D$5="Wet / river crossings",Shoes!L17,0))))</f>
        <v>1</v>
      </c>
      <c r="F17">
        <f>IF(Dashboard!$D$6="Beginner / casual",Shoes!M17,IF(Dashboard!$D$6="Regular hiker",Shoes!N17,IF(Dashboard!$D$6="Advanced / pro",Shoes!O17,0)))</f>
        <v>3</v>
      </c>
      <c r="G17" s="34">
        <f>Shoes!P17</f>
        <v>4.79057659208262</v>
      </c>
      <c r="H17" s="32">
        <f t="shared" si="0"/>
        <v>36.717297762478601</v>
      </c>
      <c r="I17" s="42">
        <f t="shared" si="1"/>
        <v>36.717467762478599</v>
      </c>
      <c r="J17" s="31">
        <f t="shared" si="2"/>
        <v>289</v>
      </c>
    </row>
    <row r="18" spans="1:10">
      <c r="A18">
        <v>18</v>
      </c>
      <c r="B18" t="str">
        <f>Shoes!A18</f>
        <v>Men Sports Shoes Summer Breathable Hiking Shoes Outdoor Men Mesh Non-Slip Climbing Sneakers</v>
      </c>
      <c r="C18" s="31">
        <f>Shoes!C18</f>
        <v>291</v>
      </c>
      <c r="D18">
        <f>IF(Shoes!C18&lt;=Dashboard!$D$4,1,0)</f>
        <v>1</v>
      </c>
      <c r="E18">
        <f>IF(Dashboard!$D$5="Light trails / parks",Shoes!I18,IF(Dashboard!$D$5="Mixed hiking trails",Shoes!J18,IF(Dashboard!$D$5="Rocky / mountainous",Shoes!K18,IF(Dashboard!$D$5="Wet / river crossings",Shoes!L18,0))))</f>
        <v>1</v>
      </c>
      <c r="F18">
        <f>IF(Dashboard!$D$6="Beginner / casual",Shoes!M18,IF(Dashboard!$D$6="Regular hiker",Shoes!N18,IF(Dashboard!$D$6="Advanced / pro",Shoes!O18,0)))</f>
        <v>4</v>
      </c>
      <c r="G18" s="34">
        <f>Shoes!P18</f>
        <v>4.7664979757085</v>
      </c>
      <c r="H18" s="32">
        <f t="shared" si="0"/>
        <v>38.994939271254999</v>
      </c>
      <c r="I18" s="42">
        <f t="shared" si="1"/>
        <v>38.995119271255</v>
      </c>
      <c r="J18" s="31">
        <f t="shared" si="2"/>
        <v>291</v>
      </c>
    </row>
    <row r="19" spans="1:10">
      <c r="A19">
        <v>19</v>
      </c>
      <c r="B19" t="str">
        <f>Shoes!A19</f>
        <v>Hiking Shoes Men/women Rubber Anti-slip Waterproof Wading Shoes Breathable Lightweight Sports Shoes</v>
      </c>
      <c r="C19" s="31">
        <f>Shoes!C19</f>
        <v>293</v>
      </c>
      <c r="D19">
        <f>IF(Shoes!C19&lt;=Dashboard!$D$4,1,0)</f>
        <v>1</v>
      </c>
      <c r="E19">
        <f>IF(Dashboard!$D$5="Light trails / parks",Shoes!I19,IF(Dashboard!$D$5="Mixed hiking trails",Shoes!J19,IF(Dashboard!$D$5="Rocky / mountainous",Shoes!K19,IF(Dashboard!$D$5="Wet / river crossings",Shoes!L19,0))))</f>
        <v>0</v>
      </c>
      <c r="F19">
        <f>IF(Dashboard!$D$6="Beginner / casual",Shoes!M19,IF(Dashboard!$D$6="Regular hiker",Shoes!N19,IF(Dashboard!$D$6="Advanced / pro",Shoes!O19,0)))</f>
        <v>3</v>
      </c>
      <c r="G19" s="34">
        <f>Shoes!P19</f>
        <v>4.8898120580573101</v>
      </c>
      <c r="H19" s="32">
        <f t="shared" si="0"/>
        <v>35.694361741719305</v>
      </c>
      <c r="I19" s="42">
        <f t="shared" si="1"/>
        <v>35.694551741719309</v>
      </c>
      <c r="J19" s="31">
        <f t="shared" si="2"/>
        <v>293</v>
      </c>
    </row>
    <row r="20" spans="1:10">
      <c r="A20">
        <v>20</v>
      </c>
      <c r="B20" t="str">
        <f>Shoes!A20</f>
        <v>Hiking Shoes Breathable Soft Non-slip Comfortable Slip-On Trekking Shoes for Beach Outdoor</v>
      </c>
      <c r="C20" s="31">
        <f>Shoes!C20</f>
        <v>296</v>
      </c>
      <c r="D20">
        <f>IF(Shoes!C20&lt;=Dashboard!$D$4,1,0)</f>
        <v>1</v>
      </c>
      <c r="E20">
        <f>IF(Dashboard!$D$5="Light trails / parks",Shoes!I20,IF(Dashboard!$D$5="Mixed hiking trails",Shoes!J20,IF(Dashboard!$D$5="Rocky / mountainous",Shoes!K20,IF(Dashboard!$D$5="Wet / river crossings",Shoes!L20,0))))</f>
        <v>1</v>
      </c>
      <c r="F20">
        <f>IF(Dashboard!$D$6="Beginner / casual",Shoes!M20,IF(Dashboard!$D$6="Regular hiker",Shoes!N20,IF(Dashboard!$D$6="Advanced / pro",Shoes!O20,0)))</f>
        <v>4</v>
      </c>
      <c r="G20" s="34">
        <f>Shoes!P20</f>
        <v>4.7568339100346</v>
      </c>
      <c r="H20" s="32">
        <f t="shared" si="0"/>
        <v>38.705017301037998</v>
      </c>
      <c r="I20" s="42">
        <f t="shared" si="1"/>
        <v>38.705217301037997</v>
      </c>
      <c r="J20" s="31">
        <f t="shared" si="2"/>
        <v>296</v>
      </c>
    </row>
    <row r="21" spans="1:10">
      <c r="A21">
        <v>21</v>
      </c>
      <c r="B21" t="str">
        <f>Shoes!A21</f>
        <v>Men/Women Hiking Shoe Outdoor Sports Wading Non-slip Rubber Trekking Quick-drying Climbing</v>
      </c>
      <c r="C21" s="31">
        <f>Shoes!C21</f>
        <v>302</v>
      </c>
      <c r="D21">
        <f>IF(Shoes!C21&lt;=Dashboard!$D$4,1,0)</f>
        <v>1</v>
      </c>
      <c r="E21">
        <f>IF(Dashboard!$D$5="Light trails / parks",Shoes!I21,IF(Dashboard!$D$5="Mixed hiking trails",Shoes!J21,IF(Dashboard!$D$5="Rocky / mountainous",Shoes!K21,IF(Dashboard!$D$5="Wet / river crossings",Shoes!L21,0))))</f>
        <v>2</v>
      </c>
      <c r="F21">
        <f>IF(Dashboard!$D$6="Beginner / casual",Shoes!M21,IF(Dashboard!$D$6="Regular hiker",Shoes!N21,IF(Dashboard!$D$6="Advanced / pro",Shoes!O21,0)))</f>
        <v>5</v>
      </c>
      <c r="G21" s="34">
        <f>Shoes!P21</f>
        <v>4.6477272727272698</v>
      </c>
      <c r="H21" s="32">
        <f t="shared" si="0"/>
        <v>42.431818181818095</v>
      </c>
      <c r="I21" s="42">
        <f t="shared" si="1"/>
        <v>42.432028181818097</v>
      </c>
      <c r="J21" s="31">
        <f t="shared" si="2"/>
        <v>302</v>
      </c>
    </row>
    <row r="22" spans="1:10">
      <c r="A22">
        <v>22</v>
      </c>
      <c r="B22" t="str">
        <f>Shoes!A22</f>
        <v>Men's Outdoor Hiking Shoes Are Non Slip Wear-Resistant And Breathable Suitable For Hiking Camping</v>
      </c>
      <c r="C22" s="31">
        <f>Shoes!C22</f>
        <v>309</v>
      </c>
      <c r="D22">
        <f>IF(Shoes!C22&lt;=Dashboard!$D$4,1,0)</f>
        <v>1</v>
      </c>
      <c r="E22">
        <f>IF(Dashboard!$D$5="Light trails / parks",Shoes!I22,IF(Dashboard!$D$5="Mixed hiking trails",Shoes!J22,IF(Dashboard!$D$5="Rocky / mountainous",Shoes!K22,IF(Dashboard!$D$5="Wet / river crossings",Shoes!L22,0))))</f>
        <v>1</v>
      </c>
      <c r="F22">
        <f>IF(Dashboard!$D$6="Beginner / casual",Shoes!M22,IF(Dashboard!$D$6="Regular hiker",Shoes!N22,IF(Dashboard!$D$6="Advanced / pro",Shoes!O22,0)))</f>
        <v>2</v>
      </c>
      <c r="G22" s="34">
        <f>Shoes!P22</f>
        <v>4.7582599118942701</v>
      </c>
      <c r="H22" s="32">
        <f t="shared" si="0"/>
        <v>32.747797356828102</v>
      </c>
      <c r="I22" s="42">
        <f t="shared" si="1"/>
        <v>32.7480173568281</v>
      </c>
      <c r="J22" s="31">
        <f t="shared" si="2"/>
        <v>309</v>
      </c>
    </row>
    <row r="23" spans="1:10">
      <c r="A23">
        <v>23</v>
      </c>
      <c r="B23" t="str">
        <f>Shoes!A23</f>
        <v>Men Hiking Shoes Water-resistant Wear-resistant Suitable Sports Shoes Outdoor Anti-slip Running Shoe</v>
      </c>
      <c r="C23" s="31">
        <f>Shoes!C23</f>
        <v>360</v>
      </c>
      <c r="D23">
        <f>IF(Shoes!C23&lt;=Dashboard!$D$4,1,0)</f>
        <v>1</v>
      </c>
      <c r="E23">
        <f>IF(Dashboard!$D$5="Light trails / parks",Shoes!I23,IF(Dashboard!$D$5="Mixed hiking trails",Shoes!J23,IF(Dashboard!$D$5="Rocky / mountainous",Shoes!K23,IF(Dashboard!$D$5="Wet / river crossings",Shoes!L23,0))))</f>
        <v>1</v>
      </c>
      <c r="F23">
        <f>IF(Dashboard!$D$6="Beginner / casual",Shoes!M23,IF(Dashboard!$D$6="Regular hiker",Shoes!N23,IF(Dashboard!$D$6="Advanced / pro",Shoes!O23,0)))</f>
        <v>4</v>
      </c>
      <c r="G23" s="34">
        <f>Shoes!P23</f>
        <v>4.7927097203728399</v>
      </c>
      <c r="H23" s="32">
        <f t="shared" si="0"/>
        <v>39.781291611185196</v>
      </c>
      <c r="I23" s="42">
        <f t="shared" si="1"/>
        <v>39.781521611185198</v>
      </c>
      <c r="J23" s="31">
        <f t="shared" si="2"/>
        <v>360</v>
      </c>
    </row>
    <row r="24" spans="1:10">
      <c r="A24">
        <v>24</v>
      </c>
      <c r="B24" t="str">
        <f>Shoes!A24</f>
        <v>Durable Sole Outdoor Hiking Shoes For Men Non Skid Sneakers For Men Black Shoes For Men</v>
      </c>
      <c r="C24" s="31">
        <f>Shoes!C24</f>
        <v>373</v>
      </c>
      <c r="D24">
        <f>IF(Shoes!C24&lt;=Dashboard!$D$4,1,0)</f>
        <v>1</v>
      </c>
      <c r="E24">
        <f>IF(Dashboard!$D$5="Light trails / parks",Shoes!I24,IF(Dashboard!$D$5="Mixed hiking trails",Shoes!J24,IF(Dashboard!$D$5="Rocky / mountainous",Shoes!K24,IF(Dashboard!$D$5="Wet / river crossings",Shoes!L24,0))))</f>
        <v>1</v>
      </c>
      <c r="F24">
        <f>IF(Dashboard!$D$6="Beginner / casual",Shoes!M24,IF(Dashboard!$D$6="Regular hiker",Shoes!N24,IF(Dashboard!$D$6="Advanced / pro",Shoes!O24,0)))</f>
        <v>2</v>
      </c>
      <c r="G24" s="34">
        <f>Shoes!P24</f>
        <v>4.6564285714285703</v>
      </c>
      <c r="H24" s="32">
        <f t="shared" si="0"/>
        <v>29.692857142857108</v>
      </c>
      <c r="I24" s="42">
        <f t="shared" si="1"/>
        <v>29.693097142857109</v>
      </c>
      <c r="J24" s="31">
        <f t="shared" si="2"/>
        <v>373</v>
      </c>
    </row>
    <row r="25" spans="1:10">
      <c r="A25">
        <v>25</v>
      </c>
      <c r="B25" t="str">
        <f>Shoes!A25</f>
        <v>colorful river shoes, hiking shoes, breathable sports women's shoes women breathable shoes</v>
      </c>
      <c r="C25" s="31">
        <f>Shoes!C25</f>
        <v>400</v>
      </c>
      <c r="D25">
        <f>IF(Shoes!C25&lt;=Dashboard!$D$4,1,0)</f>
        <v>1</v>
      </c>
      <c r="E25">
        <f>IF(Dashboard!$D$5="Light trails / parks",Shoes!I25,IF(Dashboard!$D$5="Mixed hiking trails",Shoes!J25,IF(Dashboard!$D$5="Rocky / mountainous",Shoes!K25,IF(Dashboard!$D$5="Wet / river crossings",Shoes!L25,0))))</f>
        <v>0</v>
      </c>
      <c r="F25">
        <f>IF(Dashboard!$D$6="Beginner / casual",Shoes!M25,IF(Dashboard!$D$6="Regular hiker",Shoes!N25,IF(Dashboard!$D$6="Advanced / pro",Shoes!O25,0)))</f>
        <v>2</v>
      </c>
      <c r="G25" s="34">
        <f>Shoes!P25</f>
        <v>4.7982558139534897</v>
      </c>
      <c r="H25" s="32">
        <f t="shared" si="0"/>
        <v>29.947674418604691</v>
      </c>
      <c r="I25" s="42">
        <f t="shared" si="1"/>
        <v>29.947924418604693</v>
      </c>
      <c r="J25" s="31">
        <f t="shared" si="2"/>
        <v>400</v>
      </c>
    </row>
    <row r="26" spans="1:10">
      <c r="A26">
        <v>26</v>
      </c>
      <c r="B26" t="str">
        <f>Shoes!A26</f>
        <v>Sierra (Sports Hiking Trekking Shoes for Men)</v>
      </c>
      <c r="C26" s="31">
        <f>Shoes!C26</f>
        <v>420</v>
      </c>
      <c r="D26">
        <f>IF(Shoes!C26&lt;=Dashboard!$D$4,1,0)</f>
        <v>1</v>
      </c>
      <c r="E26">
        <f>IF(Dashboard!$D$5="Light trails / parks",Shoes!I26,IF(Dashboard!$D$5="Mixed hiking trails",Shoes!J26,IF(Dashboard!$D$5="Rocky / mountainous",Shoes!K26,IF(Dashboard!$D$5="Wet / river crossings",Shoes!L26,0))))</f>
        <v>1</v>
      </c>
      <c r="F26">
        <f>IF(Dashboard!$D$6="Beginner / casual",Shoes!M26,IF(Dashboard!$D$6="Regular hiker",Shoes!N26,IF(Dashboard!$D$6="Advanced / pro",Shoes!O26,0)))</f>
        <v>3</v>
      </c>
      <c r="G26" s="34">
        <f>Shoes!P26</f>
        <v>4.7993333739194002</v>
      </c>
      <c r="H26" s="32">
        <f t="shared" si="0"/>
        <v>36.980001217582007</v>
      </c>
      <c r="I26" s="42">
        <f t="shared" si="1"/>
        <v>36.980261217582004</v>
      </c>
      <c r="J26" s="31">
        <f t="shared" si="2"/>
        <v>420</v>
      </c>
    </row>
    <row r="27" spans="1:10">
      <c r="A27">
        <v>27</v>
      </c>
      <c r="B27" t="str">
        <f>Shoes!A27</f>
        <v>COD New Preferred Men's Hiking Shoes Mountaineering Waterproof Outdoor Shoes</v>
      </c>
      <c r="C27" s="31">
        <f>Shoes!C27</f>
        <v>439</v>
      </c>
      <c r="D27">
        <f>IF(Shoes!C27&lt;=Dashboard!$D$4,1,0)</f>
        <v>1</v>
      </c>
      <c r="E27">
        <f>IF(Dashboard!$D$5="Light trails / parks",Shoes!I27,IF(Dashboard!$D$5="Mixed hiking trails",Shoes!J27,IF(Dashboard!$D$5="Rocky / mountainous",Shoes!K27,IF(Dashboard!$D$5="Wet / river crossings",Shoes!L27,0))))</f>
        <v>2</v>
      </c>
      <c r="F27">
        <f>IF(Dashboard!$D$6="Beginner / casual",Shoes!M27,IF(Dashboard!$D$6="Regular hiker",Shoes!N27,IF(Dashboard!$D$6="Advanced / pro",Shoes!O27,0)))</f>
        <v>2</v>
      </c>
      <c r="G27" s="34">
        <f>Shoes!P27</f>
        <v>4.7934431137724598</v>
      </c>
      <c r="H27" s="32">
        <f t="shared" si="0"/>
        <v>37.80329341317379</v>
      </c>
      <c r="I27" s="42">
        <f t="shared" si="1"/>
        <v>37.803563413173791</v>
      </c>
      <c r="J27" s="31">
        <f t="shared" si="2"/>
        <v>439</v>
      </c>
    </row>
    <row r="28" spans="1:10">
      <c r="A28">
        <v>28</v>
      </c>
      <c r="B28" t="str">
        <f>Shoes!A28</f>
        <v>Outdoor Hiking Shoes for Men Mesh Casual Running Wading Shoes Wide Toe Thick Sole Fishing Shoes</v>
      </c>
      <c r="C28" s="31">
        <f>Shoes!C28</f>
        <v>589</v>
      </c>
      <c r="D28">
        <f>IF(Shoes!C28&lt;=Dashboard!$D$4,1,0)</f>
        <v>1</v>
      </c>
      <c r="E28">
        <f>IF(Dashboard!$D$5="Light trails / parks",Shoes!I28,IF(Dashboard!$D$5="Mixed hiking trails",Shoes!J28,IF(Dashboard!$D$5="Rocky / mountainous",Shoes!K28,IF(Dashboard!$D$5="Wet / river crossings",Shoes!L28,0))))</f>
        <v>0</v>
      </c>
      <c r="F28">
        <f>IF(Dashboard!$D$6="Beginner / casual",Shoes!M28,IF(Dashboard!$D$6="Regular hiker",Shoes!N28,IF(Dashboard!$D$6="Advanced / pro",Shoes!O28,0)))</f>
        <v>2</v>
      </c>
      <c r="G28" s="34">
        <f>Shoes!P28</f>
        <v>4.74361924686192</v>
      </c>
      <c r="H28" s="32">
        <f t="shared" si="0"/>
        <v>28.308577405857601</v>
      </c>
      <c r="I28" s="42">
        <f t="shared" si="1"/>
        <v>28.308857405857601</v>
      </c>
      <c r="J28" s="31">
        <f t="shared" si="2"/>
        <v>589</v>
      </c>
    </row>
    <row r="29" spans="1:10">
      <c r="A29">
        <v>29</v>
      </c>
      <c r="B29" t="str">
        <f>Shoes!A29</f>
        <v>Department shop Hiking Shoes Waterproof Trekking ShoesWater Rafting Outdoor Camping Shoes For Mens</v>
      </c>
      <c r="C29" s="31">
        <f>Shoes!C29</f>
        <v>589</v>
      </c>
      <c r="D29">
        <f>IF(Shoes!C29&lt;=Dashboard!$D$4,1,0)</f>
        <v>1</v>
      </c>
      <c r="E29">
        <f>IF(Dashboard!$D$5="Light trails / parks",Shoes!I29,IF(Dashboard!$D$5="Mixed hiking trails",Shoes!J29,IF(Dashboard!$D$5="Rocky / mountainous",Shoes!K29,IF(Dashboard!$D$5="Wet / river crossings",Shoes!L29,0))))</f>
        <v>1</v>
      </c>
      <c r="F29">
        <f>IF(Dashboard!$D$6="Beginner / casual",Shoes!M29,IF(Dashboard!$D$6="Regular hiker",Shoes!N29,IF(Dashboard!$D$6="Advanced / pro",Shoes!O29,0)))</f>
        <v>3</v>
      </c>
      <c r="G29" s="34">
        <f>Shoes!P29</f>
        <v>4.7589366515837099</v>
      </c>
      <c r="H29" s="32">
        <f t="shared" si="0"/>
        <v>35.768099547511298</v>
      </c>
      <c r="I29" s="42">
        <f t="shared" si="1"/>
        <v>35.768389547511298</v>
      </c>
      <c r="J29" s="31">
        <f t="shared" si="2"/>
        <v>589</v>
      </c>
    </row>
    <row r="30" spans="1:10">
      <c r="A30">
        <v>30</v>
      </c>
      <c r="B30" t="str">
        <f>Shoes!A30</f>
        <v>Outdoor Hiking Shoes for Men Climbing Mountains Wading Through Water AntiSlip WearResistant Sneakers</v>
      </c>
      <c r="C30" s="31">
        <f>Shoes!C30</f>
        <v>659</v>
      </c>
      <c r="D30">
        <f>IF(Shoes!C30&lt;=Dashboard!$D$4,1,0)</f>
        <v>1</v>
      </c>
      <c r="E30">
        <f>IF(Dashboard!$D$5="Light trails / parks",Shoes!I30,IF(Dashboard!$D$5="Mixed hiking trails",Shoes!J30,IF(Dashboard!$D$5="Rocky / mountainous",Shoes!K30,IF(Dashboard!$D$5="Wet / river crossings",Shoes!L30,0))))</f>
        <v>2</v>
      </c>
      <c r="F30">
        <f>IF(Dashboard!$D$6="Beginner / casual",Shoes!M30,IF(Dashboard!$D$6="Regular hiker",Shoes!N30,IF(Dashboard!$D$6="Advanced / pro",Shoes!O30,0)))</f>
        <v>2</v>
      </c>
      <c r="G30" s="34">
        <f>Shoes!P30</f>
        <v>4.7790358744394599</v>
      </c>
      <c r="H30" s="32">
        <f t="shared" si="0"/>
        <v>37.3710762331838</v>
      </c>
      <c r="I30" s="42">
        <f t="shared" si="1"/>
        <v>37.371376233183803</v>
      </c>
      <c r="J30" s="31">
        <f t="shared" si="2"/>
        <v>659</v>
      </c>
    </row>
    <row r="31" spans="1:10">
      <c r="A31">
        <v>31</v>
      </c>
      <c r="B31" t="str">
        <f>Shoes!A31</f>
        <v>Outdoor Hiking Shoes Sports Shoes Cycling Shoes Lightweight and Breathable COD</v>
      </c>
      <c r="C31" s="31">
        <f>Shoes!C31</f>
        <v>759</v>
      </c>
      <c r="D31">
        <f>IF(Shoes!C31&lt;=Dashboard!$D$4,1,0)</f>
        <v>1</v>
      </c>
      <c r="E31">
        <f>IF(Dashboard!$D$5="Light trails / parks",Shoes!I31,IF(Dashboard!$D$5="Mixed hiking trails",Shoes!J31,IF(Dashboard!$D$5="Rocky / mountainous",Shoes!K31,IF(Dashboard!$D$5="Wet / river crossings",Shoes!L31,0))))</f>
        <v>0</v>
      </c>
      <c r="F31">
        <f>IF(Dashboard!$D$6="Beginner / casual",Shoes!M31,IF(Dashboard!$D$6="Regular hiker",Shoes!N31,IF(Dashboard!$D$6="Advanced / pro",Shoes!O31,0)))</f>
        <v>3</v>
      </c>
      <c r="G31" s="34">
        <f>Shoes!P31</f>
        <v>4.7781872509960204</v>
      </c>
      <c r="H31" s="32">
        <f t="shared" si="0"/>
        <v>32.345617529880613</v>
      </c>
      <c r="I31" s="42">
        <f t="shared" si="1"/>
        <v>32.345927529880612</v>
      </c>
      <c r="J31" s="31">
        <f t="shared" si="2"/>
        <v>759</v>
      </c>
    </row>
    <row r="32" spans="1:10">
      <c r="A32">
        <v>32</v>
      </c>
      <c r="B32" t="str">
        <f>Shoes!A32</f>
        <v>Men Hiking Shoes Trekking Breathable Outdoor Sneakers Climbing Training Non-slip Sports Shoes Camping Trail Jogging Shoes</v>
      </c>
      <c r="C32" s="31">
        <f>Shoes!C32</f>
        <v>858</v>
      </c>
      <c r="D32">
        <f>IF(Shoes!C32&lt;=Dashboard!$D$4,1,0)</f>
        <v>1</v>
      </c>
      <c r="E32">
        <f>IF(Dashboard!$D$5="Light trails / parks",Shoes!I32,IF(Dashboard!$D$5="Mixed hiking trails",Shoes!J32,IF(Dashboard!$D$5="Rocky / mountainous",Shoes!K32,IF(Dashboard!$D$5="Wet / river crossings",Shoes!L32,0))))</f>
        <v>2</v>
      </c>
      <c r="F32">
        <f>IF(Dashboard!$D$6="Beginner / casual",Shoes!M32,IF(Dashboard!$D$6="Regular hiker",Shoes!N32,IF(Dashboard!$D$6="Advanced / pro",Shoes!O32,0)))</f>
        <v>5</v>
      </c>
      <c r="G32" s="34">
        <f>Shoes!P32</f>
        <v>4.7885193133047199</v>
      </c>
      <c r="H32" s="32">
        <f t="shared" si="0"/>
        <v>46.655579399141601</v>
      </c>
      <c r="I32" s="42">
        <f t="shared" si="1"/>
        <v>46.655899399141603</v>
      </c>
      <c r="J32" s="31">
        <f t="shared" si="2"/>
        <v>858</v>
      </c>
    </row>
    <row r="33" spans="1:10">
      <c r="A33">
        <v>33</v>
      </c>
      <c r="B33" t="str">
        <f>Shoes!A33</f>
        <v>Woman Bicycle Shoes Hiking Shoes Outdoor Sneakers for Lightweight Outdoor Jogging Shoes Mountain Shoes COD</v>
      </c>
      <c r="C33" s="31">
        <f>Shoes!C33</f>
        <v>899</v>
      </c>
      <c r="D33">
        <f>IF(Shoes!C33&lt;=Dashboard!$D$4,1,0)</f>
        <v>1</v>
      </c>
      <c r="E33">
        <f>IF(Dashboard!$D$5="Light trails / parks",Shoes!I33,IF(Dashboard!$D$5="Mixed hiking trails",Shoes!J33,IF(Dashboard!$D$5="Rocky / mountainous",Shoes!K33,IF(Dashboard!$D$5="Wet / river crossings",Shoes!L33,0))))</f>
        <v>1</v>
      </c>
      <c r="F33">
        <f>IF(Dashboard!$D$6="Beginner / casual",Shoes!M33,IF(Dashboard!$D$6="Regular hiker",Shoes!N33,IF(Dashboard!$D$6="Advanced / pro",Shoes!O33,0)))</f>
        <v>2</v>
      </c>
      <c r="G33" s="34">
        <f>Shoes!P33</f>
        <v>4.7813139931740603</v>
      </c>
      <c r="H33" s="32">
        <f t="shared" si="0"/>
        <v>33.439419795221809</v>
      </c>
      <c r="I33" s="42">
        <f t="shared" si="1"/>
        <v>33.439749795221807</v>
      </c>
      <c r="J33" s="31">
        <f t="shared" si="2"/>
        <v>899</v>
      </c>
    </row>
    <row r="34" spans="1:10">
      <c r="A34">
        <v>34</v>
      </c>
      <c r="B34" t="str">
        <f>Shoes!A34</f>
        <v>Swift Water Shoes Rubber Non-Slip Yoga Hiking Camping Skin Shoes (E301) EU36 to EU43</v>
      </c>
      <c r="C34" s="31">
        <f>Shoes!C34</f>
        <v>980</v>
      </c>
      <c r="D34">
        <f>IF(Shoes!C34&lt;=Dashboard!$D$4,1,0)</f>
        <v>1</v>
      </c>
      <c r="E34">
        <f>IF(Dashboard!$D$5="Light trails / parks",Shoes!I34,IF(Dashboard!$D$5="Mixed hiking trails",Shoes!J34,IF(Dashboard!$D$5="Rocky / mountainous",Shoes!K34,IF(Dashboard!$D$5="Wet / river crossings",Shoes!L34,0))))</f>
        <v>0</v>
      </c>
      <c r="F34">
        <f>IF(Dashboard!$D$6="Beginner / casual",Shoes!M34,IF(Dashboard!$D$6="Regular hiker",Shoes!N34,IF(Dashboard!$D$6="Advanced / pro",Shoes!O34,0)))</f>
        <v>2</v>
      </c>
      <c r="G34" s="34">
        <f>Shoes!P34</f>
        <v>4.8283101045296197</v>
      </c>
      <c r="H34" s="32">
        <f t="shared" ref="H34:H65" si="3">IF(D34=1,(E34*4)+(F34*3)+((G34-4)*30),-1)</f>
        <v>30.84930313588859</v>
      </c>
      <c r="I34" s="42">
        <f t="shared" ref="I34:I65" si="4">H34+ROW()/100000</f>
        <v>30.849643135888591</v>
      </c>
      <c r="J34" s="31">
        <f t="shared" ref="J34:J61" si="5">IF(D34=1,C34,"")</f>
        <v>980</v>
      </c>
    </row>
    <row r="35" spans="1:10">
      <c r="A35">
        <v>35</v>
      </c>
      <c r="B35" t="str">
        <f>Shoes!A35</f>
        <v>Men's Hiking Shoes-Nh50 Low</v>
      </c>
      <c r="C35" s="31">
        <f>Shoes!C35</f>
        <v>1113</v>
      </c>
      <c r="D35">
        <f>IF(Shoes!C35&lt;=Dashboard!$D$4,1,0)</f>
        <v>0</v>
      </c>
      <c r="E35">
        <f>IF(Dashboard!$D$5="Light trails / parks",Shoes!I35,IF(Dashboard!$D$5="Mixed hiking trails",Shoes!J35,IF(Dashboard!$D$5="Rocky / mountainous",Shoes!K35,IF(Dashboard!$D$5="Wet / river crossings",Shoes!L35,0))))</f>
        <v>0</v>
      </c>
      <c r="F35">
        <f>IF(Dashboard!$D$6="Beginner / casual",Shoes!M35,IF(Dashboard!$D$6="Regular hiker",Shoes!N35,IF(Dashboard!$D$6="Advanced / pro",Shoes!O35,0)))</f>
        <v>1</v>
      </c>
      <c r="G35" s="34">
        <f>Shoes!P35</f>
        <v>4.8674494649227098</v>
      </c>
      <c r="H35" s="32">
        <f t="shared" si="3"/>
        <v>-1</v>
      </c>
      <c r="I35" s="42">
        <f t="shared" si="4"/>
        <v>-0.99965000000000004</v>
      </c>
      <c r="J35" s="31" t="str">
        <f t="shared" si="5"/>
        <v/>
      </c>
    </row>
    <row r="36" spans="1:10">
      <c r="A36">
        <v>36</v>
      </c>
      <c r="B36" t="str">
        <f>Shoes!A36</f>
        <v>Women's Outdoor Hiking Shoes Breathable Non-slip Sports Shoes</v>
      </c>
      <c r="C36" s="31">
        <f>Shoes!C36</f>
        <v>1676</v>
      </c>
      <c r="D36">
        <f>IF(Shoes!C36&lt;=Dashboard!$D$4,1,0)</f>
        <v>0</v>
      </c>
      <c r="E36">
        <f>IF(Dashboard!$D$5="Light trails / parks",Shoes!I36,IF(Dashboard!$D$5="Mixed hiking trails",Shoes!J36,IF(Dashboard!$D$5="Rocky / mountainous",Shoes!K36,IF(Dashboard!$D$5="Wet / river crossings",Shoes!L36,0))))</f>
        <v>0</v>
      </c>
      <c r="F36">
        <f>IF(Dashboard!$D$6="Beginner / casual",Shoes!M36,IF(Dashboard!$D$6="Regular hiker",Shoes!N36,IF(Dashboard!$D$6="Advanced / pro",Shoes!O36,0)))</f>
        <v>4</v>
      </c>
      <c r="G36" s="34">
        <f>Shoes!P36</f>
        <v>4.85961538461539</v>
      </c>
      <c r="H36" s="32">
        <f t="shared" si="3"/>
        <v>-1</v>
      </c>
      <c r="I36" s="42">
        <f t="shared" si="4"/>
        <v>-0.99963999999999997</v>
      </c>
      <c r="J36" s="31" t="str">
        <f t="shared" si="5"/>
        <v/>
      </c>
    </row>
    <row r="37" spans="1:10">
      <c r="A37">
        <v>37</v>
      </c>
      <c r="B37" t="str">
        <f>Shoes!A37</f>
        <v>Qingyan 2nd Generation Men's Hiking Shoes Outdoor Breathable Non-Slip Sports Shoes</v>
      </c>
      <c r="C37" s="31">
        <f>Shoes!C37</f>
        <v>1800</v>
      </c>
      <c r="D37">
        <f>IF(Shoes!C37&lt;=Dashboard!$D$4,1,0)</f>
        <v>0</v>
      </c>
      <c r="E37">
        <f>IF(Dashboard!$D$5="Light trails / parks",Shoes!I37,IF(Dashboard!$D$5="Mixed hiking trails",Shoes!J37,IF(Dashboard!$D$5="Rocky / mountainous",Shoes!K37,IF(Dashboard!$D$5="Wet / river crossings",Shoes!L37,0))))</f>
        <v>0</v>
      </c>
      <c r="F37">
        <f>IF(Dashboard!$D$6="Beginner / casual",Shoes!M37,IF(Dashboard!$D$6="Regular hiker",Shoes!N37,IF(Dashboard!$D$6="Advanced / pro",Shoes!O37,0)))</f>
        <v>4</v>
      </c>
      <c r="G37" s="34">
        <f>Shoes!P37</f>
        <v>4.80210843373494</v>
      </c>
      <c r="H37" s="32">
        <f t="shared" si="3"/>
        <v>-1</v>
      </c>
      <c r="I37" s="42">
        <f t="shared" si="4"/>
        <v>-0.99963000000000002</v>
      </c>
      <c r="J37" s="31" t="str">
        <f t="shared" si="5"/>
        <v/>
      </c>
    </row>
    <row r="38" spans="1:10">
      <c r="A38">
        <v>38</v>
      </c>
      <c r="B38" t="str">
        <f>Shoes!A38</f>
        <v>Hiking Shoes Gel-Pickaxs (men size)</v>
      </c>
      <c r="C38" s="31">
        <f>Shoes!C38</f>
        <v>1800</v>
      </c>
      <c r="D38">
        <f>IF(Shoes!C38&lt;=Dashboard!$D$4,1,0)</f>
        <v>0</v>
      </c>
      <c r="E38">
        <f>IF(Dashboard!$D$5="Light trails / parks",Shoes!I38,IF(Dashboard!$D$5="Mixed hiking trails",Shoes!J38,IF(Dashboard!$D$5="Rocky / mountainous",Shoes!K38,IF(Dashboard!$D$5="Wet / river crossings",Shoes!L38,0))))</f>
        <v>0</v>
      </c>
      <c r="F38">
        <f>IF(Dashboard!$D$6="Beginner / casual",Shoes!M38,IF(Dashboard!$D$6="Regular hiker",Shoes!N38,IF(Dashboard!$D$6="Advanced / pro",Shoes!O38,0)))</f>
        <v>1</v>
      </c>
      <c r="G38" s="34">
        <f>Shoes!P38</f>
        <v>4.8611971830985903</v>
      </c>
      <c r="H38" s="32">
        <f t="shared" si="3"/>
        <v>-1</v>
      </c>
      <c r="I38" s="42">
        <f t="shared" si="4"/>
        <v>-0.99961999999999995</v>
      </c>
      <c r="J38" s="31" t="str">
        <f t="shared" si="5"/>
        <v/>
      </c>
    </row>
    <row r="39" spans="1:10">
      <c r="A39">
        <v>39</v>
      </c>
      <c r="B39" t="str">
        <f>Shoes!A39</f>
        <v>Qingyan 2nd Generation Women's Hiking Shoes Outdoor Breathable Non-Slip Sports Shoes</v>
      </c>
      <c r="C39" s="31">
        <f>Shoes!C39</f>
        <v>1800</v>
      </c>
      <c r="D39">
        <f>IF(Shoes!C39&lt;=Dashboard!$D$4,1,0)</f>
        <v>0</v>
      </c>
      <c r="E39">
        <f>IF(Dashboard!$D$5="Light trails / parks",Shoes!I39,IF(Dashboard!$D$5="Mixed hiking trails",Shoes!J39,IF(Dashboard!$D$5="Rocky / mountainous",Shoes!K39,IF(Dashboard!$D$5="Wet / river crossings",Shoes!L39,0))))</f>
        <v>0</v>
      </c>
      <c r="F39">
        <f>IF(Dashboard!$D$6="Beginner / casual",Shoes!M39,IF(Dashboard!$D$6="Regular hiker",Shoes!N39,IF(Dashboard!$D$6="Advanced / pro",Shoes!O39,0)))</f>
        <v>4</v>
      </c>
      <c r="G39" s="34">
        <f>Shoes!P39</f>
        <v>4.8482514177693803</v>
      </c>
      <c r="H39" s="32">
        <f t="shared" si="3"/>
        <v>-1</v>
      </c>
      <c r="I39" s="42">
        <f t="shared" si="4"/>
        <v>-0.99961</v>
      </c>
      <c r="J39" s="31" t="str">
        <f t="shared" si="5"/>
        <v/>
      </c>
    </row>
    <row r="40" spans="1:10">
      <c r="A40">
        <v>40</v>
      </c>
      <c r="B40" t="str">
        <f>Shoes!A40</f>
        <v>men's outdoor wear-resistant non-slip hiking travel casual shoes</v>
      </c>
      <c r="C40" s="31">
        <f>Shoes!C40</f>
        <v>1872</v>
      </c>
      <c r="D40">
        <f>IF(Shoes!C40&lt;=Dashboard!$D$4,1,0)</f>
        <v>0</v>
      </c>
      <c r="E40">
        <f>IF(Dashboard!$D$5="Light trails / parks",Shoes!I40,IF(Dashboard!$D$5="Mixed hiking trails",Shoes!J40,IF(Dashboard!$D$5="Rocky / mountainous",Shoes!K40,IF(Dashboard!$D$5="Wet / river crossings",Shoes!L40,0))))</f>
        <v>1</v>
      </c>
      <c r="F40">
        <f>IF(Dashboard!$D$6="Beginner / casual",Shoes!M40,IF(Dashboard!$D$6="Regular hiker",Shoes!N40,IF(Dashboard!$D$6="Advanced / pro",Shoes!O40,0)))</f>
        <v>3</v>
      </c>
      <c r="G40" s="34">
        <f>Shoes!P40</f>
        <v>4.8975724926842199</v>
      </c>
      <c r="H40" s="32">
        <f t="shared" si="3"/>
        <v>-1</v>
      </c>
      <c r="I40" s="42">
        <f t="shared" si="4"/>
        <v>-0.99960000000000004</v>
      </c>
      <c r="J40" s="31" t="str">
        <f t="shared" si="5"/>
        <v/>
      </c>
    </row>
    <row r="41" spans="1:10">
      <c r="A41">
        <v>41</v>
      </c>
      <c r="B41" t="str">
        <f>Shoes!A41</f>
        <v>Women's Non-slip Wear-resistant Hiking Shoes Outdoor Sports Shoes</v>
      </c>
      <c r="C41" s="31">
        <f>Shoes!C41</f>
        <v>1872</v>
      </c>
      <c r="D41">
        <f>IF(Shoes!C41&lt;=Dashboard!$D$4,1,0)</f>
        <v>0</v>
      </c>
      <c r="E41">
        <f>IF(Dashboard!$D$5="Light trails / parks",Shoes!I41,IF(Dashboard!$D$5="Mixed hiking trails",Shoes!J41,IF(Dashboard!$D$5="Rocky / mountainous",Shoes!K41,IF(Dashboard!$D$5="Wet / river crossings",Shoes!L41,0))))</f>
        <v>1</v>
      </c>
      <c r="F41">
        <f>IF(Dashboard!$D$6="Beginner / casual",Shoes!M41,IF(Dashboard!$D$6="Regular hiker",Shoes!N41,IF(Dashboard!$D$6="Advanced / pro",Shoes!O41,0)))</f>
        <v>4</v>
      </c>
      <c r="G41" s="34">
        <f>Shoes!P41</f>
        <v>4.8787955073586398</v>
      </c>
      <c r="H41" s="32">
        <f t="shared" si="3"/>
        <v>-1</v>
      </c>
      <c r="I41" s="42">
        <f t="shared" si="4"/>
        <v>-0.99958999999999998</v>
      </c>
      <c r="J41" s="31" t="str">
        <f t="shared" si="5"/>
        <v/>
      </c>
    </row>
    <row r="42" spans="1:10">
      <c r="A42">
        <v>42</v>
      </c>
      <c r="B42" t="str">
        <f>Shoes!A42</f>
        <v>Men's Hiking Shoes Breathable Shock Absorbing Sports Shoes</v>
      </c>
      <c r="C42" s="31">
        <f>Shoes!C42</f>
        <v>1872</v>
      </c>
      <c r="D42">
        <f>IF(Shoes!C42&lt;=Dashboard!$D$4,1,0)</f>
        <v>0</v>
      </c>
      <c r="E42">
        <f>IF(Dashboard!$D$5="Light trails / parks",Shoes!I42,IF(Dashboard!$D$5="Mixed hiking trails",Shoes!J42,IF(Dashboard!$D$5="Rocky / mountainous",Shoes!K42,IF(Dashboard!$D$5="Wet / river crossings",Shoes!L42,0))))</f>
        <v>0</v>
      </c>
      <c r="F42">
        <f>IF(Dashboard!$D$6="Beginner / casual",Shoes!M42,IF(Dashboard!$D$6="Regular hiker",Shoes!N42,IF(Dashboard!$D$6="Advanced / pro",Shoes!O42,0)))</f>
        <v>2</v>
      </c>
      <c r="G42" s="34">
        <f>Shoes!P42</f>
        <v>4.8201895043731797</v>
      </c>
      <c r="H42" s="32">
        <f t="shared" si="3"/>
        <v>-1</v>
      </c>
      <c r="I42" s="42">
        <f t="shared" si="4"/>
        <v>-0.99958000000000002</v>
      </c>
      <c r="J42" s="31" t="str">
        <f t="shared" si="5"/>
        <v/>
      </c>
    </row>
    <row r="43" spans="1:10">
      <c r="A43">
        <v>43</v>
      </c>
      <c r="B43" t="str">
        <f>Shoes!A43</f>
        <v>Women's Outdoor Hiking Shoes Waterproof Non-slip Outdoor Sports Shoes</v>
      </c>
      <c r="C43" s="31">
        <f>Shoes!C43</f>
        <v>1900</v>
      </c>
      <c r="D43">
        <f>IF(Shoes!C43&lt;=Dashboard!$D$4,1,0)</f>
        <v>0</v>
      </c>
      <c r="E43">
        <f>IF(Dashboard!$D$5="Light trails / parks",Shoes!I43,IF(Dashboard!$D$5="Mixed hiking trails",Shoes!J43,IF(Dashboard!$D$5="Rocky / mountainous",Shoes!K43,IF(Dashboard!$D$5="Wet / river crossings",Shoes!L43,0))))</f>
        <v>0</v>
      </c>
      <c r="F43">
        <f>IF(Dashboard!$D$6="Beginner / casual",Shoes!M43,IF(Dashboard!$D$6="Regular hiker",Shoes!N43,IF(Dashboard!$D$6="Advanced / pro",Shoes!O43,0)))</f>
        <v>4</v>
      </c>
      <c r="G43" s="34">
        <f>Shoes!P43</f>
        <v>4.8557754442649399</v>
      </c>
      <c r="H43" s="32">
        <f t="shared" si="3"/>
        <v>-1</v>
      </c>
      <c r="I43" s="42">
        <f t="shared" si="4"/>
        <v>-0.99956999999999996</v>
      </c>
      <c r="J43" s="31" t="str">
        <f t="shared" si="5"/>
        <v/>
      </c>
    </row>
    <row r="44" spans="1:10">
      <c r="A44">
        <v>44</v>
      </c>
      <c r="B44" t="str">
        <f>Shoes!A44</f>
        <v>Men's outdoor non-slip and wear-resistant hiking shoes</v>
      </c>
      <c r="C44" s="31">
        <f>Shoes!C44</f>
        <v>1900</v>
      </c>
      <c r="D44">
        <f>IF(Shoes!C44&lt;=Dashboard!$D$4,1,0)</f>
        <v>0</v>
      </c>
      <c r="E44">
        <f>IF(Dashboard!$D$5="Light trails / parks",Shoes!I44,IF(Dashboard!$D$5="Mixed hiking trails",Shoes!J44,IF(Dashboard!$D$5="Rocky / mountainous",Shoes!K44,IF(Dashboard!$D$5="Wet / river crossings",Shoes!L44,0))))</f>
        <v>1</v>
      </c>
      <c r="F44">
        <f>IF(Dashboard!$D$6="Beginner / casual",Shoes!M44,IF(Dashboard!$D$6="Regular hiker",Shoes!N44,IF(Dashboard!$D$6="Advanced / pro",Shoes!O44,0)))</f>
        <v>3</v>
      </c>
      <c r="G44" s="34">
        <f>Shoes!P44</f>
        <v>4.8520577933450104</v>
      </c>
      <c r="H44" s="32">
        <f t="shared" si="3"/>
        <v>-1</v>
      </c>
      <c r="I44" s="42">
        <f t="shared" si="4"/>
        <v>-0.99956</v>
      </c>
      <c r="J44" s="31" t="str">
        <f t="shared" si="5"/>
        <v/>
      </c>
    </row>
    <row r="45" spans="1:10">
      <c r="A45">
        <v>45</v>
      </c>
      <c r="B45" t="str">
        <f>Shoes!A45</f>
        <v>Kunlun Mountain Pro Anti-slip Breathable Outdoor Hiking Shoes for Couples</v>
      </c>
      <c r="C45" s="31">
        <f>Shoes!C45</f>
        <v>1970</v>
      </c>
      <c r="D45">
        <f>IF(Shoes!C45&lt;=Dashboard!$D$4,1,0)</f>
        <v>0</v>
      </c>
      <c r="E45">
        <f>IF(Dashboard!$D$5="Light trails / parks",Shoes!I45,IF(Dashboard!$D$5="Mixed hiking trails",Shoes!J45,IF(Dashboard!$D$5="Rocky / mountainous",Shoes!K45,IF(Dashboard!$D$5="Wet / river crossings",Shoes!L45,0))))</f>
        <v>1</v>
      </c>
      <c r="F45">
        <f>IF(Dashboard!$D$6="Beginner / casual",Shoes!M45,IF(Dashboard!$D$6="Regular hiker",Shoes!N45,IF(Dashboard!$D$6="Advanced / pro",Shoes!O45,0)))</f>
        <v>3</v>
      </c>
      <c r="G45" s="34">
        <f>Shoes!P45</f>
        <v>4.8523913043478304</v>
      </c>
      <c r="H45" s="32">
        <f t="shared" si="3"/>
        <v>-1</v>
      </c>
      <c r="I45" s="42">
        <f t="shared" si="4"/>
        <v>-0.99955000000000005</v>
      </c>
      <c r="J45" s="31" t="str">
        <f t="shared" si="5"/>
        <v/>
      </c>
    </row>
    <row r="46" spans="1:10">
      <c r="A46">
        <v>46</v>
      </c>
      <c r="B46" t="str">
        <f>Shoes!A46</f>
        <v>Women Non-slip Breathable Sports Running Shoes Outdoor Hiking Shoes</v>
      </c>
      <c r="C46" s="31">
        <f>Shoes!C46</f>
        <v>1970</v>
      </c>
      <c r="D46">
        <f>IF(Shoes!C46&lt;=Dashboard!$D$4,1,0)</f>
        <v>0</v>
      </c>
      <c r="E46">
        <f>IF(Dashboard!$D$5="Light trails / parks",Shoes!I46,IF(Dashboard!$D$5="Mixed hiking trails",Shoes!J46,IF(Dashboard!$D$5="Rocky / mountainous",Shoes!K46,IF(Dashboard!$D$5="Wet / river crossings",Shoes!L46,0))))</f>
        <v>0</v>
      </c>
      <c r="F46">
        <f>IF(Dashboard!$D$6="Beginner / casual",Shoes!M46,IF(Dashboard!$D$6="Regular hiker",Shoes!N46,IF(Dashboard!$D$6="Advanced / pro",Shoes!O46,0)))</f>
        <v>4</v>
      </c>
      <c r="G46" s="34">
        <f>Shoes!P46</f>
        <v>4.8466374269005899</v>
      </c>
      <c r="H46" s="32">
        <f t="shared" si="3"/>
        <v>-1</v>
      </c>
      <c r="I46" s="42">
        <f t="shared" si="4"/>
        <v>-0.99953999999999998</v>
      </c>
      <c r="J46" s="31" t="str">
        <f t="shared" si="5"/>
        <v/>
      </c>
    </row>
    <row r="47" spans="1:10">
      <c r="A47">
        <v>47</v>
      </c>
      <c r="B47" t="str">
        <f>Shoes!A47</f>
        <v>Women's Outdoor Hiking Shoes Breathable Non-Slip Casual Shoes</v>
      </c>
      <c r="C47" s="31">
        <f>Shoes!C47</f>
        <v>1994</v>
      </c>
      <c r="D47">
        <f>IF(Shoes!C47&lt;=Dashboard!$D$4,1,0)</f>
        <v>0</v>
      </c>
      <c r="E47">
        <f>IF(Dashboard!$D$5="Light trails / parks",Shoes!I47,IF(Dashboard!$D$5="Mixed hiking trails",Shoes!J47,IF(Dashboard!$D$5="Rocky / mountainous",Shoes!K47,IF(Dashboard!$D$5="Wet / river crossings",Shoes!L47,0))))</f>
        <v>0</v>
      </c>
      <c r="F47">
        <f>IF(Dashboard!$D$6="Beginner / casual",Shoes!M47,IF(Dashboard!$D$6="Regular hiker",Shoes!N47,IF(Dashboard!$D$6="Advanced / pro",Shoes!O47,0)))</f>
        <v>3</v>
      </c>
      <c r="G47" s="34">
        <f>Shoes!P47</f>
        <v>4.8685706084959799</v>
      </c>
      <c r="H47" s="32">
        <f t="shared" si="3"/>
        <v>-1</v>
      </c>
      <c r="I47" s="42">
        <f t="shared" si="4"/>
        <v>-0.99953000000000003</v>
      </c>
      <c r="J47" s="31" t="str">
        <f t="shared" si="5"/>
        <v/>
      </c>
    </row>
    <row r="48" spans="1:10">
      <c r="A48">
        <v>48</v>
      </c>
      <c r="B48" t="str">
        <f>Shoes!A48</f>
        <v>Women Outdoor Hiking Shoes Wear-Resistant Non-Slip Shock-Absorbing</v>
      </c>
      <c r="C48" s="31">
        <f>Shoes!C48</f>
        <v>2020</v>
      </c>
      <c r="D48">
        <f>IF(Shoes!C48&lt;=Dashboard!$D$4,1,0)</f>
        <v>0</v>
      </c>
      <c r="E48">
        <f>IF(Dashboard!$D$5="Light trails / parks",Shoes!I48,IF(Dashboard!$D$5="Mixed hiking trails",Shoes!J48,IF(Dashboard!$D$5="Rocky / mountainous",Shoes!K48,IF(Dashboard!$D$5="Wet / river crossings",Shoes!L48,0))))</f>
        <v>1</v>
      </c>
      <c r="F48">
        <f>IF(Dashboard!$D$6="Beginner / casual",Shoes!M48,IF(Dashboard!$D$6="Regular hiker",Shoes!N48,IF(Dashboard!$D$6="Advanced / pro",Shoes!O48,0)))</f>
        <v>3</v>
      </c>
      <c r="G48" s="34">
        <f>Shoes!P48</f>
        <v>4.8968610251118001</v>
      </c>
      <c r="H48" s="32">
        <f t="shared" si="3"/>
        <v>-1</v>
      </c>
      <c r="I48" s="42">
        <f t="shared" si="4"/>
        <v>-0.99951999999999996</v>
      </c>
      <c r="J48" s="31" t="str">
        <f t="shared" si="5"/>
        <v/>
      </c>
    </row>
    <row r="49" spans="1:10">
      <c r="A49">
        <v>49</v>
      </c>
      <c r="B49" t="str">
        <f>Shoes!A49</f>
        <v>MOUNTAIN SHADOW Men’s New Trail Running Shoes Outdoor Hiking Trekking Shoes</v>
      </c>
      <c r="C49" s="31">
        <f>Shoes!C49</f>
        <v>2088</v>
      </c>
      <c r="D49">
        <f>IF(Shoes!C49&lt;=Dashboard!$D$4,1,0)</f>
        <v>0</v>
      </c>
      <c r="E49">
        <f>IF(Dashboard!$D$5="Light trails / parks",Shoes!I49,IF(Dashboard!$D$5="Mixed hiking trails",Shoes!J49,IF(Dashboard!$D$5="Rocky / mountainous",Shoes!K49,IF(Dashboard!$D$5="Wet / river crossings",Shoes!L49,0))))</f>
        <v>2</v>
      </c>
      <c r="F49">
        <f>IF(Dashboard!$D$6="Beginner / casual",Shoes!M49,IF(Dashboard!$D$6="Regular hiker",Shoes!N49,IF(Dashboard!$D$6="Advanced / pro",Shoes!O49,0)))</f>
        <v>3</v>
      </c>
      <c r="G49" s="34">
        <f>Shoes!P49</f>
        <v>4.8675266903914602</v>
      </c>
      <c r="H49" s="32">
        <f t="shared" si="3"/>
        <v>-1</v>
      </c>
      <c r="I49" s="42">
        <f t="shared" si="4"/>
        <v>-0.99951000000000001</v>
      </c>
      <c r="J49" s="31" t="str">
        <f t="shared" si="5"/>
        <v/>
      </c>
    </row>
    <row r="50" spans="1:10">
      <c r="A50">
        <v>50</v>
      </c>
      <c r="B50" t="str">
        <f>Shoes!A50</f>
        <v>Men Women River Trekking Shoes Outdoor Hiking Hollow Breathable 672522255</v>
      </c>
      <c r="C50" s="31">
        <f>Shoes!C50</f>
        <v>2099</v>
      </c>
      <c r="D50">
        <f>IF(Shoes!C50&lt;=Dashboard!$D$4,1,0)</f>
        <v>0</v>
      </c>
      <c r="E50">
        <f>IF(Dashboard!$D$5="Light trails / parks",Shoes!I50,IF(Dashboard!$D$5="Mixed hiking trails",Shoes!J50,IF(Dashboard!$D$5="Rocky / mountainous",Shoes!K50,IF(Dashboard!$D$5="Wet / river crossings",Shoes!L50,0))))</f>
        <v>1</v>
      </c>
      <c r="F50">
        <f>IF(Dashboard!$D$6="Beginner / casual",Shoes!M50,IF(Dashboard!$D$6="Regular hiker",Shoes!N50,IF(Dashboard!$D$6="Advanced / pro",Shoes!O50,0)))</f>
        <v>3</v>
      </c>
      <c r="G50" s="34">
        <f>Shoes!P50</f>
        <v>4.8828369905956102</v>
      </c>
      <c r="H50" s="32">
        <f t="shared" si="3"/>
        <v>-1</v>
      </c>
      <c r="I50" s="42">
        <f t="shared" si="4"/>
        <v>-0.99950000000000006</v>
      </c>
      <c r="J50" s="31" t="str">
        <f t="shared" si="5"/>
        <v/>
      </c>
    </row>
    <row r="51" spans="1:10">
      <c r="A51">
        <v>51</v>
      </c>
      <c r="B51" t="str">
        <f>Shoes!A51</f>
        <v>Unisex Non-slip ​​​​​​​Mesh Breathable Hiking Outdoor Sports Running Shoes</v>
      </c>
      <c r="C51" s="31">
        <f>Shoes!C51</f>
        <v>2100</v>
      </c>
      <c r="D51">
        <f>IF(Shoes!C51&lt;=Dashboard!$D$4,1,0)</f>
        <v>0</v>
      </c>
      <c r="E51">
        <f>IF(Dashboard!$D$5="Light trails / parks",Shoes!I51,IF(Dashboard!$D$5="Mixed hiking trails",Shoes!J51,IF(Dashboard!$D$5="Rocky / mountainous",Shoes!K51,IF(Dashboard!$D$5="Wet / river crossings",Shoes!L51,0))))</f>
        <v>0</v>
      </c>
      <c r="F51">
        <f>IF(Dashboard!$D$6="Beginner / casual",Shoes!M51,IF(Dashboard!$D$6="Regular hiker",Shoes!N51,IF(Dashboard!$D$6="Advanced / pro",Shoes!O51,0)))</f>
        <v>4</v>
      </c>
      <c r="G51" s="34">
        <f>Shoes!P51</f>
        <v>4.7864107883817404</v>
      </c>
      <c r="H51" s="32">
        <f t="shared" si="3"/>
        <v>-1</v>
      </c>
      <c r="I51" s="42">
        <f t="shared" si="4"/>
        <v>-0.99948999999999999</v>
      </c>
      <c r="J51" s="31" t="str">
        <f t="shared" si="5"/>
        <v/>
      </c>
    </row>
    <row r="52" spans="1:10">
      <c r="A52">
        <v>52</v>
      </c>
      <c r="B52" t="str">
        <f>Shoes!A52</f>
        <v>Outdoor Mountaineering Summer New Breathable Non-slip Sports Hiking Cross-country Shoes for Men and Women Couples Style</v>
      </c>
      <c r="C52" s="31">
        <f>Shoes!C52</f>
        <v>2103</v>
      </c>
      <c r="D52">
        <f>IF(Shoes!C52&lt;=Dashboard!$D$4,1,0)</f>
        <v>0</v>
      </c>
      <c r="E52">
        <f>IF(Dashboard!$D$5="Light trails / parks",Shoes!I52,IF(Dashboard!$D$5="Mixed hiking trails",Shoes!J52,IF(Dashboard!$D$5="Rocky / mountainous",Shoes!K52,IF(Dashboard!$D$5="Wet / river crossings",Shoes!L52,0))))</f>
        <v>2</v>
      </c>
      <c r="F52">
        <f>IF(Dashboard!$D$6="Beginner / casual",Shoes!M52,IF(Dashboard!$D$6="Regular hiker",Shoes!N52,IF(Dashboard!$D$6="Advanced / pro",Shoes!O52,0)))</f>
        <v>4</v>
      </c>
      <c r="G52" s="34">
        <f>Shoes!P52</f>
        <v>4.7952266782911899</v>
      </c>
      <c r="H52" s="32">
        <f t="shared" si="3"/>
        <v>-1</v>
      </c>
      <c r="I52" s="42">
        <f t="shared" si="4"/>
        <v>-0.99948000000000004</v>
      </c>
      <c r="J52" s="31" t="str">
        <f t="shared" si="5"/>
        <v/>
      </c>
    </row>
    <row r="53" spans="1:10">
      <c r="A53">
        <v>53</v>
      </c>
      <c r="B53" t="str">
        <f>Shoes!A53</f>
        <v>Breathable Mesh Outdoor Casual Hiking Shoes</v>
      </c>
      <c r="C53" s="31">
        <f>Shoes!C53</f>
        <v>2150</v>
      </c>
      <c r="D53">
        <f>IF(Shoes!C53&lt;=Dashboard!$D$4,1,0)</f>
        <v>0</v>
      </c>
      <c r="E53">
        <f>IF(Dashboard!$D$5="Light trails / parks",Shoes!I53,IF(Dashboard!$D$5="Mixed hiking trails",Shoes!J53,IF(Dashboard!$D$5="Rocky / mountainous",Shoes!K53,IF(Dashboard!$D$5="Wet / river crossings",Shoes!L53,0))))</f>
        <v>0</v>
      </c>
      <c r="F53">
        <f>IF(Dashboard!$D$6="Beginner / casual",Shoes!M53,IF(Dashboard!$D$6="Regular hiker",Shoes!N53,IF(Dashboard!$D$6="Advanced / pro",Shoes!O53,0)))</f>
        <v>2</v>
      </c>
      <c r="G53" s="34">
        <f>Shoes!P53</f>
        <v>4.82288732394366</v>
      </c>
      <c r="H53" s="32">
        <f t="shared" si="3"/>
        <v>-1</v>
      </c>
      <c r="I53" s="42">
        <f t="shared" si="4"/>
        <v>-0.99946999999999997</v>
      </c>
      <c r="J53" s="31" t="str">
        <f t="shared" si="5"/>
        <v/>
      </c>
    </row>
    <row r="54" spans="1:10">
      <c r="A54">
        <v>54</v>
      </c>
      <c r="B54" t="str">
        <f>Shoes!A54</f>
        <v>CloudEase 2 Women's Hiking Sneakers</v>
      </c>
      <c r="C54" s="31">
        <f>Shoes!C54</f>
        <v>2352</v>
      </c>
      <c r="D54">
        <f>IF(Shoes!C54&lt;=Dashboard!$D$4,1,0)</f>
        <v>0</v>
      </c>
      <c r="E54">
        <f>IF(Dashboard!$D$5="Light trails / parks",Shoes!I54,IF(Dashboard!$D$5="Mixed hiking trails",Shoes!J54,IF(Dashboard!$D$5="Rocky / mountainous",Shoes!K54,IF(Dashboard!$D$5="Wet / river crossings",Shoes!L54,0))))</f>
        <v>0</v>
      </c>
      <c r="F54">
        <f>IF(Dashboard!$D$6="Beginner / casual",Shoes!M54,IF(Dashboard!$D$6="Regular hiker",Shoes!N54,IF(Dashboard!$D$6="Advanced / pro",Shoes!O54,0)))</f>
        <v>1</v>
      </c>
      <c r="G54" s="34">
        <f>Shoes!P54</f>
        <v>4.8162844036697301</v>
      </c>
      <c r="H54" s="32">
        <f t="shared" si="3"/>
        <v>-1</v>
      </c>
      <c r="I54" s="42">
        <f t="shared" si="4"/>
        <v>-0.99946000000000002</v>
      </c>
      <c r="J54" s="31" t="str">
        <f t="shared" si="5"/>
        <v/>
      </c>
    </row>
    <row r="55" spans="1:10">
      <c r="A55">
        <v>55</v>
      </c>
      <c r="B55" t="str">
        <f>Shoes!A55</f>
        <v>Women's Outdoor Hiking Shoes Non-slip Hiking Shoes</v>
      </c>
      <c r="C55" s="31">
        <f>Shoes!C55</f>
        <v>2400</v>
      </c>
      <c r="D55">
        <f>IF(Shoes!C55&lt;=Dashboard!$D$4,1,0)</f>
        <v>0</v>
      </c>
      <c r="E55">
        <f>IF(Dashboard!$D$5="Light trails / parks",Shoes!I55,IF(Dashboard!$D$5="Mixed hiking trails",Shoes!J55,IF(Dashboard!$D$5="Rocky / mountainous",Shoes!K55,IF(Dashboard!$D$5="Wet / river crossings",Shoes!L55,0))))</f>
        <v>0</v>
      </c>
      <c r="F55">
        <f>IF(Dashboard!$D$6="Beginner / casual",Shoes!M55,IF(Dashboard!$D$6="Regular hiker",Shoes!N55,IF(Dashboard!$D$6="Advanced / pro",Shoes!O55,0)))</f>
        <v>3</v>
      </c>
      <c r="G55" s="34">
        <f>Shoes!P55</f>
        <v>4.8556320907617501</v>
      </c>
      <c r="H55" s="32">
        <f t="shared" si="3"/>
        <v>-1</v>
      </c>
      <c r="I55" s="42">
        <f t="shared" si="4"/>
        <v>-0.99944999999999995</v>
      </c>
      <c r="J55" s="31" t="str">
        <f t="shared" si="5"/>
        <v/>
      </c>
    </row>
    <row r="56" spans="1:10">
      <c r="A56">
        <v>56</v>
      </c>
      <c r="B56" t="str">
        <f>Shoes!A56</f>
        <v>Women's Outdoor Hiking and Mountaineering Shoes Running Shoes</v>
      </c>
      <c r="C56" s="31">
        <f>Shoes!C56</f>
        <v>2500</v>
      </c>
      <c r="D56">
        <f>IF(Shoes!C56&lt;=Dashboard!$D$4,1,0)</f>
        <v>0</v>
      </c>
      <c r="E56">
        <f>IF(Dashboard!$D$5="Light trails / parks",Shoes!I56,IF(Dashboard!$D$5="Mixed hiking trails",Shoes!J56,IF(Dashboard!$D$5="Rocky / mountainous",Shoes!K56,IF(Dashboard!$D$5="Wet / river crossings",Shoes!L56,0))))</f>
        <v>2</v>
      </c>
      <c r="F56">
        <f>IF(Dashboard!$D$6="Beginner / casual",Shoes!M56,IF(Dashboard!$D$6="Regular hiker",Shoes!N56,IF(Dashboard!$D$6="Advanced / pro",Shoes!O56,0)))</f>
        <v>2</v>
      </c>
      <c r="G56" s="34">
        <f>Shoes!P56</f>
        <v>4.8746762257169296</v>
      </c>
      <c r="H56" s="32">
        <f t="shared" si="3"/>
        <v>-1</v>
      </c>
      <c r="I56" s="42">
        <f t="shared" si="4"/>
        <v>-0.99944</v>
      </c>
      <c r="J56" s="31" t="str">
        <f t="shared" si="5"/>
        <v/>
      </c>
    </row>
    <row r="57" spans="1:10">
      <c r="A57">
        <v>57</v>
      </c>
      <c r="B57" t="str">
        <f>Shoes!A57</f>
        <v>Kunlun Mountain 3.0 outdoor off-road hiking shoes non-slip breathable hiking shoes sports shoes</v>
      </c>
      <c r="C57" s="31">
        <f>Shoes!C57</f>
        <v>2539</v>
      </c>
      <c r="D57">
        <f>IF(Shoes!C57&lt;=Dashboard!$D$4,1,0)</f>
        <v>0</v>
      </c>
      <c r="E57">
        <f>IF(Dashboard!$D$5="Light trails / parks",Shoes!I57,IF(Dashboard!$D$5="Mixed hiking trails",Shoes!J57,IF(Dashboard!$D$5="Rocky / mountainous",Shoes!K57,IF(Dashboard!$D$5="Wet / river crossings",Shoes!L57,0))))</f>
        <v>1</v>
      </c>
      <c r="F57">
        <f>IF(Dashboard!$D$6="Beginner / casual",Shoes!M57,IF(Dashboard!$D$6="Regular hiker",Shoes!N57,IF(Dashboard!$D$6="Advanced / pro",Shoes!O57,0)))</f>
        <v>4</v>
      </c>
      <c r="G57" s="34">
        <f>Shoes!P57</f>
        <v>4.8292635658914698</v>
      </c>
      <c r="H57" s="32">
        <f t="shared" si="3"/>
        <v>-1</v>
      </c>
      <c r="I57" s="42">
        <f t="shared" si="4"/>
        <v>-0.99943000000000004</v>
      </c>
      <c r="J57" s="31" t="str">
        <f t="shared" si="5"/>
        <v/>
      </c>
    </row>
    <row r="58" spans="1:10">
      <c r="A58">
        <v>58</v>
      </c>
      <c r="B58" t="str">
        <f>Shoes!A58</f>
        <v>New Summer Chasing Mountains Men Outdoor Hiking Shoes Durable Anti-slip Cross-country Sneakers</v>
      </c>
      <c r="C58" s="31">
        <f>Shoes!C58</f>
        <v>2708</v>
      </c>
      <c r="D58">
        <f>IF(Shoes!C58&lt;=Dashboard!$D$4,1,0)</f>
        <v>0</v>
      </c>
      <c r="E58">
        <f>IF(Dashboard!$D$5="Light trails / parks",Shoes!I58,IF(Dashboard!$D$5="Mixed hiking trails",Shoes!J58,IF(Dashboard!$D$5="Rocky / mountainous",Shoes!K58,IF(Dashboard!$D$5="Wet / river crossings",Shoes!L58,0))))</f>
        <v>2</v>
      </c>
      <c r="F58">
        <f>IF(Dashboard!$D$6="Beginner / casual",Shoes!M58,IF(Dashboard!$D$6="Regular hiker",Shoes!N58,IF(Dashboard!$D$6="Advanced / pro",Shoes!O58,0)))</f>
        <v>3</v>
      </c>
      <c r="G58" s="34">
        <f>Shoes!P58</f>
        <v>4.7679864253393696</v>
      </c>
      <c r="H58" s="32">
        <f t="shared" si="3"/>
        <v>-1</v>
      </c>
      <c r="I58" s="42">
        <f t="shared" si="4"/>
        <v>-0.99941999999999998</v>
      </c>
      <c r="J58" s="31" t="str">
        <f t="shared" si="5"/>
        <v/>
      </c>
    </row>
    <row r="59" spans="1:10">
      <c r="A59">
        <v>59</v>
      </c>
      <c r="B59" t="str">
        <f>Shoes!A59</f>
        <v>Hiking Sneakers Splash-proof Breathable Anti-Slip Shockproof Running Climbing Oudoor Sports Shoes</v>
      </c>
      <c r="C59" s="31">
        <f>Shoes!C59</f>
        <v>2939</v>
      </c>
      <c r="D59">
        <f>IF(Shoes!C59&lt;=Dashboard!$D$4,1,0)</f>
        <v>0</v>
      </c>
      <c r="E59">
        <f>IF(Dashboard!$D$5="Light trails / parks",Shoes!I59,IF(Dashboard!$D$5="Mixed hiking trails",Shoes!J59,IF(Dashboard!$D$5="Rocky / mountainous",Shoes!K59,IF(Dashboard!$D$5="Wet / river crossings",Shoes!L59,0))))</f>
        <v>2</v>
      </c>
      <c r="F59">
        <f>IF(Dashboard!$D$6="Beginner / casual",Shoes!M59,IF(Dashboard!$D$6="Regular hiker",Shoes!N59,IF(Dashboard!$D$6="Advanced / pro",Shoes!O59,0)))</f>
        <v>3</v>
      </c>
      <c r="G59" s="34">
        <f>Shoes!P59</f>
        <v>4.8660780669144996</v>
      </c>
      <c r="H59" s="32">
        <f t="shared" si="3"/>
        <v>-1</v>
      </c>
      <c r="I59" s="42">
        <f t="shared" si="4"/>
        <v>-0.99941000000000002</v>
      </c>
      <c r="J59" s="31" t="str">
        <f t="shared" si="5"/>
        <v/>
      </c>
    </row>
    <row r="60" spans="1:10">
      <c r="A60">
        <v>60</v>
      </c>
      <c r="B60" t="str">
        <f>Shoes!A60</f>
        <v>Speed Eco Waterproof – Pink Salt Women’s Hiking Shoes</v>
      </c>
      <c r="C60" s="31">
        <f>Shoes!C60</f>
        <v>5365</v>
      </c>
      <c r="D60">
        <f>IF(Shoes!C60&lt;=Dashboard!$D$4,1,0)</f>
        <v>0</v>
      </c>
      <c r="E60">
        <f>IF(Dashboard!$D$5="Light trails / parks",Shoes!I60,IF(Dashboard!$D$5="Mixed hiking trails",Shoes!J60,IF(Dashboard!$D$5="Rocky / mountainous",Shoes!K60,IF(Dashboard!$D$5="Wet / river crossings",Shoes!L60,0))))</f>
        <v>0</v>
      </c>
      <c r="F60">
        <f>IF(Dashboard!$D$6="Beginner / casual",Shoes!M60,IF(Dashboard!$D$6="Regular hiker",Shoes!N60,IF(Dashboard!$D$6="Advanced / pro",Shoes!O60,0)))</f>
        <v>1</v>
      </c>
      <c r="G60" s="34">
        <f>Shoes!P60</f>
        <v>4.8097490347490401</v>
      </c>
      <c r="H60" s="32">
        <f t="shared" si="3"/>
        <v>-1</v>
      </c>
      <c r="I60" s="42">
        <f t="shared" si="4"/>
        <v>-0.99939999999999996</v>
      </c>
      <c r="J60" s="31" t="str">
        <f t="shared" si="5"/>
        <v/>
      </c>
    </row>
    <row r="61" spans="1:10">
      <c r="A61">
        <v>61</v>
      </c>
      <c r="B61" t="str">
        <f>Shoes!A61</f>
        <v>Accentor 3 Mid Waterproof-Black Womens Hiking Shoes</v>
      </c>
      <c r="C61" s="31">
        <f>Shoes!C61</f>
        <v>5605</v>
      </c>
      <c r="D61">
        <f>IF(Shoes!C61&lt;=Dashboard!$D$4,1,0)</f>
        <v>0</v>
      </c>
      <c r="E61">
        <f>IF(Dashboard!$D$5="Light trails / parks",Shoes!I61,IF(Dashboard!$D$5="Mixed hiking trails",Shoes!J61,IF(Dashboard!$D$5="Rocky / mountainous",Shoes!K61,IF(Dashboard!$D$5="Wet / river crossings",Shoes!L61,0))))</f>
        <v>0</v>
      </c>
      <c r="F61">
        <f>IF(Dashboard!$D$6="Beginner / casual",Shoes!M61,IF(Dashboard!$D$6="Regular hiker",Shoes!N61,IF(Dashboard!$D$6="Advanced / pro",Shoes!O61,0)))</f>
        <v>1</v>
      </c>
      <c r="G61" s="34">
        <f>Shoes!P61</f>
        <v>4.8208181818181801</v>
      </c>
      <c r="H61" s="32">
        <f t="shared" si="3"/>
        <v>-1</v>
      </c>
      <c r="I61" s="42">
        <f t="shared" si="4"/>
        <v>-0.99939</v>
      </c>
      <c r="J61" s="31" t="str">
        <f t="shared" si="5"/>
        <v/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Shoes</vt:lpstr>
      <vt:lpstr>Installments</vt:lpstr>
      <vt:lpstr>Logic</vt:lpstr>
      <vt:lpstr>Picker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Kai Mariz</cp:lastModifiedBy>
  <cp:revision>0</cp:revision>
  <dcterms:created xsi:type="dcterms:W3CDTF">2026-05-09T09:21:01Z</dcterms:created>
  <dcterms:modified xsi:type="dcterms:W3CDTF">2026-05-09T09:36:20Z</dcterms:modified>
  <dc:language>en-US</dc:language>
</cp:coreProperties>
</file>